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autoCompressPictures="0" defaultThemeVersion="124226"/>
  <mc:AlternateContent xmlns:mc="http://schemas.openxmlformats.org/markup-compatibility/2006">
    <mc:Choice Requires="x15">
      <x15ac:absPath xmlns:x15ac="http://schemas.microsoft.com/office/spreadsheetml/2010/11/ac" url="https://aaii.sharepoint.com/sites/Journal/Shared Documents/Rebalancing-Charles/"/>
    </mc:Choice>
  </mc:AlternateContent>
  <xr:revisionPtr revIDLastSave="122" documentId="8_{6036AF47-97D3-4449-9BB7-C58900AC33EC}" xr6:coauthVersionLast="46" xr6:coauthVersionMax="46" xr10:uidLastSave="{CF9B4BEF-7F3B-284C-96AD-4831744D6B63}"/>
  <bookViews>
    <workbookView xWindow="8840" yWindow="5940" windowWidth="29080" windowHeight="17000" tabRatio="892" activeTab="2" xr2:uid="{00000000-000D-0000-FFFF-FFFF00000000}"/>
  </bookViews>
  <sheets>
    <sheet name="Instructions" sheetId="2" r:id="rId1"/>
    <sheet name="Notes" sheetId="3" r:id="rId2"/>
    <sheet name="Summary" sheetId="8" r:id="rId3"/>
    <sheet name="Non-Rebalanced Strategy" sheetId="1" r:id="rId4"/>
    <sheet name="Rebalanced Strategy" sheetId="4" r:id="rId5"/>
    <sheet name="Panic Portfolio" sheetId="7" r:id="rId6"/>
    <sheet name="60-40 Portfolio" sheetId="16" r:id="rId7"/>
    <sheet name="SP500 Only" sheetId="17" r:id="rId8"/>
    <sheet name="4.5% Withdrawals-No Rebalancing" sheetId="13" r:id="rId9"/>
    <sheet name="4.5% Withdrawals-Rebalanced" sheetId="14" r:id="rId10"/>
    <sheet name="4.5% 60-40 Portfolio" sheetId="18" r:id="rId11"/>
    <sheet name="4.5% Withdrawals-Panic" sheetId="15" r:id="rId12"/>
    <sheet name="4.5% SP500" sheetId="19" r:id="rId13"/>
    <sheet name="4% Withdrawals-No Rebalancing" sheetId="9" r:id="rId14"/>
    <sheet name="4% Withdrawals-Rebalanced" sheetId="10" r:id="rId15"/>
    <sheet name="4% Withdrawals-Panic" sheetId="12"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AQ37" i="12" l="1"/>
  <c r="AG37" i="12"/>
  <c r="O37" i="12"/>
  <c r="N37" i="12"/>
  <c r="A37" i="12"/>
  <c r="R37" i="12" s="1"/>
  <c r="O36" i="12"/>
  <c r="H36" i="12"/>
  <c r="Y36" i="12" s="1"/>
  <c r="G36" i="12"/>
  <c r="X36" i="12" s="1"/>
  <c r="E36" i="12"/>
  <c r="V36" i="12" s="1"/>
  <c r="D36" i="12"/>
  <c r="U36" i="12" s="1"/>
  <c r="B36" i="12"/>
  <c r="I36" i="12" s="1"/>
  <c r="J36" i="12" s="1"/>
  <c r="K36" i="12" s="1"/>
  <c r="L36" i="12" s="1"/>
  <c r="A36" i="12"/>
  <c r="AG36" i="12" s="1"/>
  <c r="AQ36" i="12" s="1"/>
  <c r="O17" i="12"/>
  <c r="N17" i="12"/>
  <c r="H17" i="12"/>
  <c r="G17" i="12"/>
  <c r="E17" i="12"/>
  <c r="D17" i="12"/>
  <c r="B17" i="12"/>
  <c r="A17" i="12"/>
  <c r="BH36" i="10"/>
  <c r="BG36" i="10"/>
  <c r="BE36" i="10"/>
  <c r="BD36" i="10"/>
  <c r="BB36" i="10"/>
  <c r="AR36" i="10"/>
  <c r="AW31" i="10"/>
  <c r="AX36" i="10"/>
  <c r="AW36" i="10"/>
  <c r="AU36" i="10"/>
  <c r="AT36" i="10"/>
  <c r="AX35" i="10"/>
  <c r="AW35" i="10"/>
  <c r="AU35" i="10"/>
  <c r="AT35" i="10"/>
  <c r="AR35" i="10"/>
  <c r="AX34" i="10"/>
  <c r="AW34" i="10"/>
  <c r="AU34" i="10"/>
  <c r="AT34" i="10"/>
  <c r="AR34" i="10"/>
  <c r="AX33" i="10"/>
  <c r="AW33" i="10"/>
  <c r="AU33" i="10"/>
  <c r="AT33" i="10"/>
  <c r="AR33" i="10"/>
  <c r="AX32" i="10"/>
  <c r="AW32" i="10"/>
  <c r="AU32" i="10"/>
  <c r="AT32" i="10"/>
  <c r="AR32" i="10"/>
  <c r="AX31" i="10"/>
  <c r="AU31" i="10"/>
  <c r="AT31" i="10"/>
  <c r="AR31" i="10"/>
  <c r="AX30" i="10"/>
  <c r="AW30" i="10"/>
  <c r="AU30" i="10"/>
  <c r="AT30" i="10"/>
  <c r="AR30" i="10"/>
  <c r="AX29" i="10"/>
  <c r="AW29" i="10"/>
  <c r="AU29" i="10"/>
  <c r="AT29" i="10"/>
  <c r="AR29" i="10"/>
  <c r="AX28" i="10"/>
  <c r="AW28" i="10"/>
  <c r="AU28" i="10"/>
  <c r="AT28" i="10"/>
  <c r="AR28" i="10"/>
  <c r="AX27" i="10"/>
  <c r="AW27" i="10"/>
  <c r="AU27" i="10"/>
  <c r="AT27" i="10"/>
  <c r="AR27" i="10"/>
  <c r="AX26" i="10"/>
  <c r="AW26" i="10"/>
  <c r="AU26" i="10"/>
  <c r="AT26" i="10"/>
  <c r="AR26" i="10"/>
  <c r="AX25" i="10"/>
  <c r="AW25" i="10"/>
  <c r="AU25" i="10"/>
  <c r="AT25" i="10"/>
  <c r="AR25" i="10"/>
  <c r="AX24" i="10"/>
  <c r="AW24" i="10"/>
  <c r="AT24" i="10"/>
  <c r="AR24" i="10"/>
  <c r="AU24" i="10"/>
  <c r="BA37" i="10"/>
  <c r="AQ37" i="10"/>
  <c r="AG37" i="10"/>
  <c r="N37" i="10"/>
  <c r="A37" i="10"/>
  <c r="R37" i="10" s="1"/>
  <c r="AQ36" i="10"/>
  <c r="BA36" i="10" s="1"/>
  <c r="AG36" i="10"/>
  <c r="O36" i="10"/>
  <c r="O37" i="10" s="1"/>
  <c r="N36" i="10"/>
  <c r="I36" i="10"/>
  <c r="J36" i="10" s="1"/>
  <c r="K36" i="10" s="1"/>
  <c r="L36" i="10" s="1"/>
  <c r="H36" i="10"/>
  <c r="Y36" i="10" s="1"/>
  <c r="G36" i="10"/>
  <c r="X36" i="10" s="1"/>
  <c r="E36" i="10"/>
  <c r="V36" i="10" s="1"/>
  <c r="D36" i="10"/>
  <c r="U36" i="10" s="1"/>
  <c r="B36" i="10"/>
  <c r="S36" i="10" s="1"/>
  <c r="A36" i="10"/>
  <c r="R36" i="10" s="1"/>
  <c r="O17" i="10"/>
  <c r="N17" i="10"/>
  <c r="H17" i="10"/>
  <c r="G17" i="10"/>
  <c r="E17" i="10"/>
  <c r="D17" i="10"/>
  <c r="B17" i="10"/>
  <c r="A17" i="10"/>
  <c r="A36" i="19"/>
  <c r="B36" i="19"/>
  <c r="I36" i="19"/>
  <c r="J36" i="19"/>
  <c r="K36" i="19" s="1"/>
  <c r="L36" i="19" s="1"/>
  <c r="N36" i="19"/>
  <c r="O36" i="19"/>
  <c r="S36" i="19" s="1"/>
  <c r="R36" i="19"/>
  <c r="AG36" i="19"/>
  <c r="AS36" i="19" s="1"/>
  <c r="BC36" i="19" s="1"/>
  <c r="A37" i="19"/>
  <c r="N37" i="19" s="1"/>
  <c r="R37" i="19"/>
  <c r="O17" i="19"/>
  <c r="N17" i="19"/>
  <c r="H17" i="19"/>
  <c r="G17" i="19"/>
  <c r="E17" i="19"/>
  <c r="D17" i="19"/>
  <c r="B17" i="19"/>
  <c r="A17" i="19"/>
  <c r="A37" i="15"/>
  <c r="AG37" i="15" s="1"/>
  <c r="AS37" i="15" s="1"/>
  <c r="O36" i="15"/>
  <c r="O37" i="15" s="1"/>
  <c r="H36" i="15"/>
  <c r="Y36" i="15" s="1"/>
  <c r="G36" i="15"/>
  <c r="X36" i="15" s="1"/>
  <c r="E36" i="15"/>
  <c r="V36" i="15" s="1"/>
  <c r="D36" i="15"/>
  <c r="U36" i="15" s="1"/>
  <c r="B36" i="15"/>
  <c r="I36" i="15" s="1"/>
  <c r="J36" i="15" s="1"/>
  <c r="K36" i="15" s="1"/>
  <c r="L36" i="15" s="1"/>
  <c r="A36" i="15"/>
  <c r="AG36" i="15" s="1"/>
  <c r="AS36" i="15" s="1"/>
  <c r="O17" i="15"/>
  <c r="N17" i="15"/>
  <c r="H17" i="15"/>
  <c r="G17" i="15"/>
  <c r="E17" i="15"/>
  <c r="D17" i="15"/>
  <c r="B17" i="15"/>
  <c r="A17" i="15"/>
  <c r="A36" i="18"/>
  <c r="N36" i="18" s="1"/>
  <c r="O35" i="18"/>
  <c r="O36" i="18" s="1"/>
  <c r="H35" i="18"/>
  <c r="Y35" i="18" s="1"/>
  <c r="B35" i="18"/>
  <c r="I35" i="18" s="1"/>
  <c r="J35" i="18" s="1"/>
  <c r="K35" i="18" s="1"/>
  <c r="L35" i="18" s="1"/>
  <c r="A35" i="18"/>
  <c r="N35" i="18" s="1"/>
  <c r="O17" i="18"/>
  <c r="N17" i="18"/>
  <c r="H17" i="18"/>
  <c r="G17" i="18"/>
  <c r="E17" i="18"/>
  <c r="D17" i="18"/>
  <c r="B17" i="18"/>
  <c r="A17" i="18"/>
  <c r="BJ36" i="14"/>
  <c r="BI36" i="14"/>
  <c r="BG36" i="14"/>
  <c r="BF36" i="14"/>
  <c r="BD36" i="14"/>
  <c r="AT36" i="14"/>
  <c r="AZ36" i="14"/>
  <c r="AY36" i="14"/>
  <c r="AW36" i="14"/>
  <c r="AV36" i="14"/>
  <c r="AZ35" i="14"/>
  <c r="AY35" i="14"/>
  <c r="AW35" i="14"/>
  <c r="AV35" i="14"/>
  <c r="AT35" i="14"/>
  <c r="AZ34" i="14"/>
  <c r="AY34" i="14"/>
  <c r="AW34" i="14"/>
  <c r="AV34" i="14"/>
  <c r="AT34" i="14"/>
  <c r="AZ33" i="14"/>
  <c r="AY33" i="14"/>
  <c r="AW33" i="14"/>
  <c r="AV33" i="14"/>
  <c r="AT33" i="14"/>
  <c r="AZ32" i="14"/>
  <c r="AY32" i="14"/>
  <c r="AW32" i="14"/>
  <c r="AV32" i="14"/>
  <c r="AT32" i="14"/>
  <c r="AZ31" i="14"/>
  <c r="AY31" i="14"/>
  <c r="AW31" i="14"/>
  <c r="AV31" i="14"/>
  <c r="AT31" i="14"/>
  <c r="AZ30" i="14"/>
  <c r="AY30" i="14"/>
  <c r="AW30" i="14"/>
  <c r="AV30" i="14"/>
  <c r="AT30" i="14"/>
  <c r="AZ29" i="14"/>
  <c r="AY29" i="14"/>
  <c r="AW29" i="14"/>
  <c r="AV29" i="14"/>
  <c r="AT29" i="14"/>
  <c r="AZ28" i="14"/>
  <c r="AY28" i="14"/>
  <c r="AW28" i="14"/>
  <c r="AV28" i="14"/>
  <c r="AT28" i="14"/>
  <c r="AZ27" i="14"/>
  <c r="AY27" i="14"/>
  <c r="AW27" i="14"/>
  <c r="AV27" i="14"/>
  <c r="AT27" i="14"/>
  <c r="AZ26" i="14"/>
  <c r="AY26" i="14"/>
  <c r="AW26" i="14"/>
  <c r="AV26" i="14"/>
  <c r="AT26" i="14"/>
  <c r="AZ25" i="14"/>
  <c r="AY25" i="14"/>
  <c r="AW25" i="14"/>
  <c r="AV25" i="14"/>
  <c r="AT25" i="14"/>
  <c r="BA24" i="14"/>
  <c r="AZ24" i="14"/>
  <c r="AY24" i="14"/>
  <c r="AW24" i="14"/>
  <c r="AV24" i="14"/>
  <c r="AT24" i="14"/>
  <c r="AG37" i="14"/>
  <c r="AS37" i="14" s="1"/>
  <c r="BC37" i="14" s="1"/>
  <c r="O37" i="14"/>
  <c r="A37" i="14"/>
  <c r="N37" i="14" s="1"/>
  <c r="AG36" i="14"/>
  <c r="AS36" i="14" s="1"/>
  <c r="BC36" i="14" s="1"/>
  <c r="O36" i="14"/>
  <c r="N36" i="14"/>
  <c r="I36" i="14"/>
  <c r="J36" i="14" s="1"/>
  <c r="K36" i="14" s="1"/>
  <c r="L36" i="14" s="1"/>
  <c r="H36" i="14"/>
  <c r="Y36" i="14" s="1"/>
  <c r="G36" i="14"/>
  <c r="X36" i="14" s="1"/>
  <c r="E36" i="14"/>
  <c r="V36" i="14" s="1"/>
  <c r="D36" i="14"/>
  <c r="U36" i="14" s="1"/>
  <c r="B36" i="14"/>
  <c r="S36" i="14" s="1"/>
  <c r="A36" i="14"/>
  <c r="R36" i="14" s="1"/>
  <c r="O17" i="14"/>
  <c r="N17" i="14"/>
  <c r="H17" i="14"/>
  <c r="G17" i="14"/>
  <c r="E17" i="14"/>
  <c r="D17" i="14"/>
  <c r="B17" i="14"/>
  <c r="A17" i="14"/>
  <c r="Y37" i="13"/>
  <c r="X37" i="13"/>
  <c r="U37" i="13"/>
  <c r="S37" i="13"/>
  <c r="V37" i="13"/>
  <c r="A37" i="13"/>
  <c r="AG37" i="13" s="1"/>
  <c r="O36" i="13"/>
  <c r="O37" i="13" s="1"/>
  <c r="H36" i="13"/>
  <c r="Y36" i="13" s="1"/>
  <c r="G36" i="13"/>
  <c r="X36" i="13" s="1"/>
  <c r="E36" i="13"/>
  <c r="V36" i="13" s="1"/>
  <c r="D36" i="13"/>
  <c r="U36" i="13" s="1"/>
  <c r="B36" i="13"/>
  <c r="I36" i="13" s="1"/>
  <c r="J36" i="13" s="1"/>
  <c r="K36" i="13" s="1"/>
  <c r="L36" i="13" s="1"/>
  <c r="A36" i="13"/>
  <c r="AG36" i="13" s="1"/>
  <c r="O17" i="13"/>
  <c r="N17" i="13"/>
  <c r="H17" i="13"/>
  <c r="G17" i="13"/>
  <c r="F17" i="13"/>
  <c r="E17" i="13"/>
  <c r="D17" i="13"/>
  <c r="C17" i="13"/>
  <c r="B17" i="13"/>
  <c r="A17" i="13"/>
  <c r="AK37" i="17"/>
  <c r="O37" i="17"/>
  <c r="AA37" i="17" s="1"/>
  <c r="A37" i="17"/>
  <c r="AK36" i="17"/>
  <c r="O36" i="17"/>
  <c r="AA36" i="17" s="1"/>
  <c r="I36" i="17"/>
  <c r="AI36" i="17" s="1"/>
  <c r="B36" i="17"/>
  <c r="AB36" i="17" s="1"/>
  <c r="A36" i="17"/>
  <c r="H17" i="17"/>
  <c r="G17" i="17"/>
  <c r="F17" i="17"/>
  <c r="E17" i="17"/>
  <c r="D17" i="17"/>
  <c r="C17" i="17"/>
  <c r="B17" i="17"/>
  <c r="A17" i="17"/>
  <c r="AK37" i="16"/>
  <c r="O37" i="16"/>
  <c r="AA37" i="16" s="1"/>
  <c r="H37" i="16"/>
  <c r="B37" i="16"/>
  <c r="A37" i="16"/>
  <c r="O36" i="16"/>
  <c r="AA36" i="16" s="1"/>
  <c r="H36" i="16"/>
  <c r="B36" i="16"/>
  <c r="A36" i="16"/>
  <c r="AK36" i="16" s="1"/>
  <c r="A17" i="16"/>
  <c r="B17" i="16"/>
  <c r="C17" i="16"/>
  <c r="D17" i="16"/>
  <c r="E17" i="16"/>
  <c r="F17" i="16"/>
  <c r="G17" i="16"/>
  <c r="H17" i="16"/>
  <c r="A37" i="7"/>
  <c r="O37" i="7" s="1"/>
  <c r="AA37" i="7" s="1"/>
  <c r="AH36" i="7"/>
  <c r="H37" i="7" s="1"/>
  <c r="AG36" i="7"/>
  <c r="G37" i="7" s="1"/>
  <c r="AE36" i="7"/>
  <c r="E37" i="7" s="1"/>
  <c r="AB36" i="7"/>
  <c r="O36" i="7"/>
  <c r="AA36" i="7" s="1"/>
  <c r="I36" i="7"/>
  <c r="V36" i="7" s="1"/>
  <c r="H36" i="7"/>
  <c r="G36" i="7"/>
  <c r="E36" i="7"/>
  <c r="S36" i="7" s="1"/>
  <c r="D36" i="7"/>
  <c r="AD36" i="7" s="1"/>
  <c r="D37" i="7" s="1"/>
  <c r="B36" i="7"/>
  <c r="A36" i="7"/>
  <c r="A17" i="7"/>
  <c r="B17" i="7"/>
  <c r="C17" i="7"/>
  <c r="D17" i="7"/>
  <c r="E17" i="7"/>
  <c r="F17" i="7"/>
  <c r="G17" i="7"/>
  <c r="H17" i="7"/>
  <c r="V34" i="4"/>
  <c r="V30" i="4"/>
  <c r="V25" i="4"/>
  <c r="AH34" i="4"/>
  <c r="AR34" i="4"/>
  <c r="AQ34" i="4"/>
  <c r="AO34" i="4"/>
  <c r="AN34" i="4"/>
  <c r="AL34" i="4"/>
  <c r="AH27" i="4"/>
  <c r="AR27" i="4"/>
  <c r="AQ27" i="4"/>
  <c r="AO27" i="4"/>
  <c r="AN27" i="4"/>
  <c r="AL27" i="4"/>
  <c r="AR26" i="4"/>
  <c r="AQ26" i="4"/>
  <c r="AO26" i="4"/>
  <c r="AN26" i="4"/>
  <c r="AL26" i="4"/>
  <c r="AH25" i="4"/>
  <c r="V23" i="4"/>
  <c r="U23" i="4"/>
  <c r="S23" i="4"/>
  <c r="R23" i="4"/>
  <c r="AG25" i="4"/>
  <c r="AE25" i="4"/>
  <c r="AD25" i="4"/>
  <c r="AB25" i="4"/>
  <c r="AH24" i="4"/>
  <c r="AG24" i="4"/>
  <c r="AE24" i="4"/>
  <c r="AD24" i="4"/>
  <c r="AB24" i="4"/>
  <c r="AK37" i="4"/>
  <c r="O37" i="4"/>
  <c r="AA37" i="4" s="1"/>
  <c r="A37" i="4"/>
  <c r="A36" i="4"/>
  <c r="AK36" i="4" s="1"/>
  <c r="H17" i="4"/>
  <c r="G17" i="4"/>
  <c r="F17" i="4"/>
  <c r="E17" i="4"/>
  <c r="D17" i="4"/>
  <c r="C17" i="4"/>
  <c r="B17" i="4"/>
  <c r="A17" i="4"/>
  <c r="V23" i="1"/>
  <c r="P23" i="1"/>
  <c r="H37" i="1"/>
  <c r="G37" i="1"/>
  <c r="U37" i="1" s="1"/>
  <c r="E37" i="1"/>
  <c r="S37" i="1" s="1"/>
  <c r="D37" i="1"/>
  <c r="B37" i="1"/>
  <c r="I37" i="1" s="1"/>
  <c r="A37" i="1"/>
  <c r="O37" i="1" s="1"/>
  <c r="H36" i="1"/>
  <c r="G36" i="1"/>
  <c r="U36" i="1" s="1"/>
  <c r="E36" i="1"/>
  <c r="S36" i="1" s="1"/>
  <c r="D36" i="1"/>
  <c r="B36" i="1"/>
  <c r="I36" i="1" s="1"/>
  <c r="A36" i="1"/>
  <c r="O36" i="1" s="1"/>
  <c r="J17" i="1"/>
  <c r="K17" i="1"/>
  <c r="M17" i="1"/>
  <c r="N17" i="1"/>
  <c r="P17" i="1"/>
  <c r="Q17" i="1"/>
  <c r="AW36" i="12" l="1"/>
  <c r="G37" i="12" s="1"/>
  <c r="X37" i="12" s="1"/>
  <c r="AX36" i="12"/>
  <c r="H37" i="12" s="1"/>
  <c r="Y37" i="12" s="1"/>
  <c r="AT36" i="12"/>
  <c r="D37" i="12" s="1"/>
  <c r="U37" i="12" s="1"/>
  <c r="AU36" i="12"/>
  <c r="E37" i="12" s="1"/>
  <c r="V37" i="12" s="1"/>
  <c r="R36" i="12"/>
  <c r="S36" i="12"/>
  <c r="N36" i="12"/>
  <c r="G37" i="10"/>
  <c r="X37" i="10" s="1"/>
  <c r="B37" i="10"/>
  <c r="Z36" i="10"/>
  <c r="AN36" i="10"/>
  <c r="H37" i="10"/>
  <c r="Y37" i="10" s="1"/>
  <c r="AJ36" i="10"/>
  <c r="D37" i="10"/>
  <c r="U37" i="10" s="1"/>
  <c r="E37" i="10"/>
  <c r="V37" i="10" s="1"/>
  <c r="AK36" i="10"/>
  <c r="Z36" i="19"/>
  <c r="AT36" i="19" s="1"/>
  <c r="AG37" i="19"/>
  <c r="AS37" i="19" s="1"/>
  <c r="BC37" i="19" s="1"/>
  <c r="O37" i="19"/>
  <c r="AZ36" i="15"/>
  <c r="H37" i="15" s="1"/>
  <c r="Y37" i="15" s="1"/>
  <c r="AV36" i="15"/>
  <c r="D37" i="15" s="1"/>
  <c r="U37" i="15" s="1"/>
  <c r="AY36" i="15"/>
  <c r="G37" i="15" s="1"/>
  <c r="X37" i="15" s="1"/>
  <c r="AW36" i="15"/>
  <c r="E37" i="15" s="1"/>
  <c r="V37" i="15" s="1"/>
  <c r="R36" i="15"/>
  <c r="S36" i="15"/>
  <c r="R37" i="15"/>
  <c r="N36" i="15"/>
  <c r="N37" i="15"/>
  <c r="R35" i="18"/>
  <c r="AG35" i="18"/>
  <c r="AS35" i="18" s="1"/>
  <c r="BC35" i="18" s="1"/>
  <c r="R36" i="18"/>
  <c r="AG36" i="18"/>
  <c r="AS36" i="18" s="1"/>
  <c r="BC36" i="18" s="1"/>
  <c r="S35" i="18"/>
  <c r="Z36" i="14"/>
  <c r="B37" i="14"/>
  <c r="AH36" i="14"/>
  <c r="H37" i="14"/>
  <c r="Y37" i="14" s="1"/>
  <c r="AN36" i="14"/>
  <c r="D37" i="14"/>
  <c r="U37" i="14" s="1"/>
  <c r="E37" i="14"/>
  <c r="V37" i="14" s="1"/>
  <c r="G37" i="14"/>
  <c r="X37" i="14" s="1"/>
  <c r="AM36" i="14"/>
  <c r="R37" i="14"/>
  <c r="G37" i="13"/>
  <c r="H37" i="13"/>
  <c r="D37" i="13"/>
  <c r="E37" i="13"/>
  <c r="R36" i="13"/>
  <c r="R37" i="13"/>
  <c r="S36" i="13"/>
  <c r="N36" i="13"/>
  <c r="N37" i="13"/>
  <c r="J36" i="17"/>
  <c r="K36" i="17" s="1"/>
  <c r="L36" i="17" s="1"/>
  <c r="P36" i="17"/>
  <c r="AS36" i="17"/>
  <c r="AL36" i="17" s="1"/>
  <c r="B37" i="17" s="1"/>
  <c r="I37" i="16"/>
  <c r="V37" i="16" s="1"/>
  <c r="I36" i="16"/>
  <c r="AH36" i="16"/>
  <c r="AE37" i="7"/>
  <c r="AD37" i="7"/>
  <c r="AG37" i="7"/>
  <c r="AH37" i="7"/>
  <c r="AI36" i="7"/>
  <c r="AJ36" i="7" s="1"/>
  <c r="U36" i="7"/>
  <c r="J36" i="7"/>
  <c r="K36" i="7" s="1"/>
  <c r="L36" i="7" s="1"/>
  <c r="P36" i="7"/>
  <c r="R36" i="7"/>
  <c r="B37" i="7"/>
  <c r="O36" i="4"/>
  <c r="AA36" i="4" s="1"/>
  <c r="R37" i="1"/>
  <c r="V37" i="1"/>
  <c r="J37" i="1"/>
  <c r="K37" i="1" s="1"/>
  <c r="L37" i="1" s="1"/>
  <c r="P37" i="1"/>
  <c r="R36" i="1"/>
  <c r="V36" i="1"/>
  <c r="P36" i="1"/>
  <c r="J36" i="1"/>
  <c r="K36" i="1" s="1"/>
  <c r="L36" i="1" s="1"/>
  <c r="AU37" i="12" l="1"/>
  <c r="AX37" i="12"/>
  <c r="AR36" i="12"/>
  <c r="B37" i="12" s="1"/>
  <c r="Z36" i="12"/>
  <c r="AH36" i="12"/>
  <c r="AT37" i="12"/>
  <c r="AW37" i="12"/>
  <c r="BE37" i="10"/>
  <c r="BI36" i="10"/>
  <c r="AD36" i="10"/>
  <c r="BJ36" i="10"/>
  <c r="AY36" i="10"/>
  <c r="AA36" i="10"/>
  <c r="AB36" i="10" s="1"/>
  <c r="AC36" i="10" s="1"/>
  <c r="AM36" i="10"/>
  <c r="BH37" i="10"/>
  <c r="AH36" i="10"/>
  <c r="AO36" i="10" s="1"/>
  <c r="BD37" i="10"/>
  <c r="I37" i="10"/>
  <c r="J37" i="10" s="1"/>
  <c r="K37" i="10" s="1"/>
  <c r="L37" i="10" s="1"/>
  <c r="S37" i="10"/>
  <c r="BG37" i="10"/>
  <c r="BD36" i="19"/>
  <c r="B37" i="19" s="1"/>
  <c r="BK36" i="19"/>
  <c r="AD36" i="19"/>
  <c r="BA36" i="19"/>
  <c r="BL36" i="19"/>
  <c r="AA36" i="19"/>
  <c r="AB36" i="19" s="1"/>
  <c r="AC36" i="19" s="1"/>
  <c r="AH36" i="19"/>
  <c r="AW37" i="15"/>
  <c r="AV37" i="15"/>
  <c r="Z36" i="15"/>
  <c r="AH36" i="15" s="1"/>
  <c r="AT36" i="15"/>
  <c r="B37" i="15" s="1"/>
  <c r="AY37" i="15"/>
  <c r="AZ37" i="15"/>
  <c r="Z35" i="18"/>
  <c r="AH35" i="18" s="1"/>
  <c r="AT35" i="18"/>
  <c r="BF37" i="14"/>
  <c r="AO36" i="14"/>
  <c r="BG37" i="14"/>
  <c r="I37" i="14"/>
  <c r="J37" i="14" s="1"/>
  <c r="K37" i="14" s="1"/>
  <c r="L37" i="14" s="1"/>
  <c r="S37" i="14"/>
  <c r="BI37" i="14"/>
  <c r="BJ37" i="14"/>
  <c r="BK36" i="14"/>
  <c r="BA36" i="14"/>
  <c r="AA36" i="14"/>
  <c r="AB36" i="14" s="1"/>
  <c r="AC36" i="14" s="1"/>
  <c r="BL36" i="14"/>
  <c r="AD36" i="14"/>
  <c r="AK36" i="14"/>
  <c r="AJ36" i="14"/>
  <c r="AP36" i="14" s="1"/>
  <c r="Z36" i="13"/>
  <c r="B37" i="13"/>
  <c r="AH36" i="13"/>
  <c r="I37" i="17"/>
  <c r="X36" i="17"/>
  <c r="W36" i="17"/>
  <c r="AB37" i="16"/>
  <c r="AS37" i="16"/>
  <c r="AI37" i="16"/>
  <c r="J37" i="16"/>
  <c r="K37" i="16" s="1"/>
  <c r="L37" i="16" s="1"/>
  <c r="AH37" i="16"/>
  <c r="P37" i="16"/>
  <c r="AB36" i="16"/>
  <c r="AS36" i="16"/>
  <c r="AI36" i="16"/>
  <c r="P36" i="16"/>
  <c r="J36" i="16"/>
  <c r="K36" i="16" s="1"/>
  <c r="L36" i="16" s="1"/>
  <c r="V36" i="16"/>
  <c r="X36" i="7"/>
  <c r="W36" i="7"/>
  <c r="Y36" i="7" s="1"/>
  <c r="I37" i="7"/>
  <c r="AB37" i="7"/>
  <c r="AI37" i="7" s="1"/>
  <c r="X37" i="1"/>
  <c r="W37" i="1"/>
  <c r="X36" i="1"/>
  <c r="W36" i="1"/>
  <c r="Y36" i="1" s="1"/>
  <c r="AA36" i="12" l="1"/>
  <c r="AB36" i="12" s="1"/>
  <c r="AC36" i="12" s="1"/>
  <c r="AD36" i="12"/>
  <c r="AZ36" i="12"/>
  <c r="AY36" i="12"/>
  <c r="AM36" i="12"/>
  <c r="AJ36" i="12"/>
  <c r="AO36" i="12" s="1"/>
  <c r="AK36" i="12"/>
  <c r="AN36" i="12"/>
  <c r="S37" i="12"/>
  <c r="I37" i="12"/>
  <c r="J37" i="12" s="1"/>
  <c r="K37" i="12" s="1"/>
  <c r="L37" i="12" s="1"/>
  <c r="Z37" i="10"/>
  <c r="BB37" i="10"/>
  <c r="AO36" i="19"/>
  <c r="AP36" i="19"/>
  <c r="S37" i="19"/>
  <c r="I37" i="19"/>
  <c r="J37" i="19" s="1"/>
  <c r="K37" i="19" s="1"/>
  <c r="L37" i="19" s="1"/>
  <c r="I37" i="15"/>
  <c r="J37" i="15" s="1"/>
  <c r="K37" i="15" s="1"/>
  <c r="L37" i="15" s="1"/>
  <c r="S37" i="15"/>
  <c r="BB36" i="15"/>
  <c r="AA36" i="15"/>
  <c r="AB36" i="15" s="1"/>
  <c r="AC36" i="15" s="1"/>
  <c r="BA36" i="15"/>
  <c r="AD36" i="15"/>
  <c r="AM36" i="15"/>
  <c r="AJ36" i="15"/>
  <c r="AO36" i="15" s="1"/>
  <c r="AQ36" i="15" s="1"/>
  <c r="AN36" i="15"/>
  <c r="AK36" i="15"/>
  <c r="AP36" i="15" s="1"/>
  <c r="AP35" i="18"/>
  <c r="BK35" i="18"/>
  <c r="BA35" i="18"/>
  <c r="BD35" i="18"/>
  <c r="B36" i="18" s="1"/>
  <c r="BJ35" i="18"/>
  <c r="H36" i="18" s="1"/>
  <c r="Y36" i="18" s="1"/>
  <c r="AA35" i="18"/>
  <c r="AB35" i="18" s="1"/>
  <c r="AC35" i="18" s="1"/>
  <c r="AD35" i="18"/>
  <c r="AN35" i="18"/>
  <c r="AO35" i="18" s="1"/>
  <c r="AQ35" i="18" s="1"/>
  <c r="AZ35" i="18"/>
  <c r="Z37" i="14"/>
  <c r="AH37" i="14" s="1"/>
  <c r="BD37" i="14"/>
  <c r="AQ36" i="14"/>
  <c r="I37" i="13"/>
  <c r="J37" i="13" s="1"/>
  <c r="K37" i="13" s="1"/>
  <c r="L37" i="13" s="1"/>
  <c r="AA36" i="13"/>
  <c r="AB36" i="13" s="1"/>
  <c r="AC36" i="13" s="1"/>
  <c r="AD36" i="13"/>
  <c r="AM36" i="13"/>
  <c r="AJ36" i="13"/>
  <c r="AO36" i="13" s="1"/>
  <c r="AN36" i="13"/>
  <c r="AK36" i="13"/>
  <c r="AS37" i="17"/>
  <c r="AL37" i="17" s="1"/>
  <c r="J37" i="17"/>
  <c r="K37" i="17" s="1"/>
  <c r="L37" i="17" s="1"/>
  <c r="AI37" i="17"/>
  <c r="P37" i="17"/>
  <c r="Y36" i="17"/>
  <c r="AB37" i="17"/>
  <c r="X37" i="16"/>
  <c r="W37" i="16"/>
  <c r="Y37" i="16" s="1"/>
  <c r="AR37" i="16"/>
  <c r="AT37" i="16" s="1"/>
  <c r="AL37" i="16"/>
  <c r="X36" i="16"/>
  <c r="W36" i="16"/>
  <c r="Y36" i="16" s="1"/>
  <c r="AR36" i="16"/>
  <c r="AL36" i="16"/>
  <c r="J37" i="7"/>
  <c r="K37" i="7" s="1"/>
  <c r="L37" i="7" s="1"/>
  <c r="U37" i="7"/>
  <c r="S37" i="7"/>
  <c r="R37" i="7"/>
  <c r="V37" i="7"/>
  <c r="P37" i="7"/>
  <c r="AJ37" i="7"/>
  <c r="Y37" i="1"/>
  <c r="AR37" i="12" l="1"/>
  <c r="Z37" i="12"/>
  <c r="AU37" i="10"/>
  <c r="AT37" i="10"/>
  <c r="AX37" i="10"/>
  <c r="AW37" i="10"/>
  <c r="AR37" i="10"/>
  <c r="BJ37" i="10"/>
  <c r="AY37" i="10"/>
  <c r="BI37" i="10"/>
  <c r="AA37" i="10"/>
  <c r="AB37" i="10" s="1"/>
  <c r="AC37" i="10" s="1"/>
  <c r="AD37" i="10"/>
  <c r="AJ37" i="10"/>
  <c r="AK37" i="10"/>
  <c r="AN37" i="10"/>
  <c r="AM37" i="10"/>
  <c r="AH37" i="10"/>
  <c r="Z37" i="19"/>
  <c r="AQ36" i="19"/>
  <c r="Z37" i="15"/>
  <c r="AH37" i="15"/>
  <c r="AT37" i="15"/>
  <c r="BL35" i="18"/>
  <c r="I36" i="18"/>
  <c r="J36" i="18" s="1"/>
  <c r="K36" i="18" s="1"/>
  <c r="L36" i="18" s="1"/>
  <c r="S36" i="18"/>
  <c r="AW37" i="14"/>
  <c r="AY37" i="14"/>
  <c r="AZ37" i="14"/>
  <c r="AV37" i="14"/>
  <c r="AT37" i="14"/>
  <c r="BL37" i="14"/>
  <c r="BA37" i="14"/>
  <c r="AD37" i="14"/>
  <c r="AA37" i="14"/>
  <c r="AB37" i="14" s="1"/>
  <c r="AC37" i="14" s="1"/>
  <c r="BK37" i="14"/>
  <c r="AM37" i="14"/>
  <c r="AJ37" i="14"/>
  <c r="AP37" i="14" s="1"/>
  <c r="AK37" i="14"/>
  <c r="AN37" i="14"/>
  <c r="Z37" i="13"/>
  <c r="AP36" i="13"/>
  <c r="AQ36" i="13" s="1"/>
  <c r="W37" i="17"/>
  <c r="Y37" i="17" s="1"/>
  <c r="X37" i="17"/>
  <c r="AT36" i="16"/>
  <c r="X37" i="7"/>
  <c r="W37" i="7"/>
  <c r="Y37" i="7" s="1"/>
  <c r="AZ37" i="12" l="1"/>
  <c r="AY37" i="12"/>
  <c r="AA37" i="12"/>
  <c r="AB37" i="12" s="1"/>
  <c r="AC37" i="12" s="1"/>
  <c r="AD37" i="12"/>
  <c r="AK37" i="12"/>
  <c r="AM37" i="12"/>
  <c r="AN37" i="12"/>
  <c r="AJ37" i="12"/>
  <c r="AH37" i="12"/>
  <c r="AO37" i="10"/>
  <c r="BK37" i="19"/>
  <c r="AD37" i="19"/>
  <c r="BA37" i="19"/>
  <c r="BL37" i="19"/>
  <c r="BD37" i="19"/>
  <c r="AA37" i="19"/>
  <c r="AB37" i="19" s="1"/>
  <c r="AC37" i="19" s="1"/>
  <c r="AH37" i="19"/>
  <c r="AT37" i="19"/>
  <c r="BB37" i="15"/>
  <c r="AA37" i="15"/>
  <c r="AB37" i="15" s="1"/>
  <c r="AC37" i="15" s="1"/>
  <c r="BA37" i="15"/>
  <c r="AD37" i="15"/>
  <c r="AK37" i="15"/>
  <c r="AN37" i="15"/>
  <c r="AJ37" i="15"/>
  <c r="AP37" i="15" s="1"/>
  <c r="AM37" i="15"/>
  <c r="Z36" i="18"/>
  <c r="AO37" i="14"/>
  <c r="AQ37" i="14"/>
  <c r="AA37" i="13"/>
  <c r="AB37" i="13" s="1"/>
  <c r="AC37" i="13" s="1"/>
  <c r="AD37" i="13"/>
  <c r="AN37" i="13"/>
  <c r="AM37" i="13"/>
  <c r="AJ37" i="13"/>
  <c r="AK37" i="13"/>
  <c r="AH37" i="13"/>
  <c r="AO37" i="12" l="1"/>
  <c r="AO37" i="19"/>
  <c r="AP37" i="19"/>
  <c r="AO37" i="15"/>
  <c r="AQ37" i="15" s="1"/>
  <c r="AD36" i="18"/>
  <c r="BK36" i="18"/>
  <c r="BA36" i="18"/>
  <c r="BD36" i="18"/>
  <c r="BL36" i="18" s="1"/>
  <c r="BJ36" i="18"/>
  <c r="AA36" i="18"/>
  <c r="AB36" i="18" s="1"/>
  <c r="AC36" i="18" s="1"/>
  <c r="AN36" i="18"/>
  <c r="AZ36" i="18"/>
  <c r="AH36" i="18"/>
  <c r="AT36" i="18"/>
  <c r="AO37" i="13"/>
  <c r="AP37" i="13"/>
  <c r="AQ37" i="19" l="1"/>
  <c r="AP36" i="18"/>
  <c r="AO36" i="18"/>
  <c r="AQ36" i="18" s="1"/>
  <c r="AQ37" i="13"/>
  <c r="A25" i="3" l="1"/>
  <c r="I50" i="19"/>
  <c r="J18" i="8"/>
  <c r="O18" i="8"/>
  <c r="N18" i="8"/>
  <c r="M18" i="8"/>
  <c r="L18" i="8"/>
  <c r="K18" i="8"/>
  <c r="J27" i="8"/>
  <c r="J26" i="8"/>
  <c r="J25" i="8"/>
  <c r="J24" i="8"/>
  <c r="J23" i="8"/>
  <c r="J22" i="8"/>
  <c r="J21" i="8"/>
  <c r="J20" i="8"/>
  <c r="J19" i="8"/>
  <c r="O5" i="8"/>
  <c r="N5" i="8"/>
  <c r="I48" i="17"/>
  <c r="J13" i="8"/>
  <c r="J12" i="8"/>
  <c r="J11" i="8"/>
  <c r="J10" i="8"/>
  <c r="J9" i="8"/>
  <c r="J8" i="8"/>
  <c r="J7" i="8"/>
  <c r="J6" i="8"/>
  <c r="M5" i="8"/>
  <c r="L5" i="8"/>
  <c r="K5" i="8"/>
  <c r="J5" i="8"/>
  <c r="O16" i="12" l="1"/>
  <c r="N16" i="12"/>
  <c r="H16" i="12"/>
  <c r="G16" i="12"/>
  <c r="E16" i="12"/>
  <c r="D16" i="12"/>
  <c r="B16" i="12"/>
  <c r="A16" i="12"/>
  <c r="O16" i="10"/>
  <c r="N16" i="10"/>
  <c r="H16" i="10"/>
  <c r="G16" i="10"/>
  <c r="E16" i="10"/>
  <c r="D16" i="10"/>
  <c r="B16" i="10"/>
  <c r="A16" i="10"/>
  <c r="AN40" i="19"/>
  <c r="H16" i="19"/>
  <c r="G16" i="19"/>
  <c r="E16" i="19"/>
  <c r="D16" i="19"/>
  <c r="B16" i="19"/>
  <c r="A16" i="19"/>
  <c r="H16" i="15"/>
  <c r="G16" i="15"/>
  <c r="E16" i="15"/>
  <c r="D16" i="15"/>
  <c r="B16" i="15"/>
  <c r="A16" i="15"/>
  <c r="H16" i="14"/>
  <c r="G16" i="14"/>
  <c r="E16" i="14"/>
  <c r="D16" i="14"/>
  <c r="B16" i="14"/>
  <c r="A16" i="14"/>
  <c r="H16" i="18"/>
  <c r="G16" i="18"/>
  <c r="E16" i="18"/>
  <c r="D16" i="18"/>
  <c r="B16" i="18"/>
  <c r="A16" i="18"/>
  <c r="N16" i="13"/>
  <c r="N16" i="19" s="1"/>
  <c r="O16" i="13"/>
  <c r="O16" i="19" s="1"/>
  <c r="H16" i="9"/>
  <c r="G16" i="9"/>
  <c r="F16" i="9"/>
  <c r="E16" i="9"/>
  <c r="D16" i="9"/>
  <c r="C16" i="9"/>
  <c r="B16" i="9"/>
  <c r="A16" i="9"/>
  <c r="A35" i="9" s="1"/>
  <c r="R35" i="9" s="1"/>
  <c r="H16" i="13"/>
  <c r="G16" i="13"/>
  <c r="F16" i="13"/>
  <c r="E16" i="13"/>
  <c r="D16" i="13"/>
  <c r="C16" i="13"/>
  <c r="B16" i="13"/>
  <c r="A16" i="13"/>
  <c r="V40" i="17"/>
  <c r="H16" i="17"/>
  <c r="G16" i="17"/>
  <c r="F16" i="17"/>
  <c r="E16" i="17"/>
  <c r="D16" i="17"/>
  <c r="C16" i="17"/>
  <c r="B16" i="17"/>
  <c r="A16" i="17"/>
  <c r="H16" i="16"/>
  <c r="G16" i="16"/>
  <c r="F16" i="16"/>
  <c r="E16" i="16"/>
  <c r="D16" i="16"/>
  <c r="C16" i="16"/>
  <c r="B16" i="16"/>
  <c r="A16" i="16"/>
  <c r="H16" i="7"/>
  <c r="G16" i="7"/>
  <c r="F16" i="7"/>
  <c r="E16" i="7"/>
  <c r="D16" i="7"/>
  <c r="C16" i="7"/>
  <c r="B16" i="7"/>
  <c r="A16" i="7"/>
  <c r="H16" i="4"/>
  <c r="G16" i="4"/>
  <c r="F16" i="4"/>
  <c r="E16" i="4"/>
  <c r="D16" i="4"/>
  <c r="C16" i="4"/>
  <c r="B16" i="4"/>
  <c r="A16" i="4"/>
  <c r="J16" i="1"/>
  <c r="K16" i="1"/>
  <c r="M16" i="1"/>
  <c r="N16" i="1"/>
  <c r="P16" i="1"/>
  <c r="Q16" i="1"/>
  <c r="N16" i="18" l="1"/>
  <c r="N16" i="14"/>
  <c r="N16" i="15"/>
  <c r="O16" i="18"/>
  <c r="O16" i="14"/>
  <c r="O16" i="15"/>
  <c r="N35" i="9"/>
  <c r="AG35" i="9"/>
  <c r="A15" i="12"/>
  <c r="A35" i="12" s="1"/>
  <c r="B15" i="12"/>
  <c r="D15" i="12"/>
  <c r="E15" i="12"/>
  <c r="G15" i="12"/>
  <c r="H15" i="12"/>
  <c r="N15" i="12"/>
  <c r="O15" i="12"/>
  <c r="A15" i="10"/>
  <c r="A35" i="10" s="1"/>
  <c r="AG35" i="10" s="1"/>
  <c r="AQ35" i="10" s="1"/>
  <c r="BA35" i="10" s="1"/>
  <c r="B15" i="10"/>
  <c r="D15" i="10"/>
  <c r="E15" i="10"/>
  <c r="G15" i="10"/>
  <c r="H15" i="10"/>
  <c r="N15" i="10"/>
  <c r="O15" i="10"/>
  <c r="A15" i="19"/>
  <c r="A35" i="19" s="1"/>
  <c r="B15" i="19"/>
  <c r="D15" i="19"/>
  <c r="E15" i="19"/>
  <c r="G15" i="19"/>
  <c r="H15" i="19"/>
  <c r="A15" i="15"/>
  <c r="A35" i="15" s="1"/>
  <c r="B15" i="15"/>
  <c r="D15" i="15"/>
  <c r="E15" i="15"/>
  <c r="G15" i="15"/>
  <c r="H15" i="15"/>
  <c r="A15" i="14"/>
  <c r="A35" i="14" s="1"/>
  <c r="AG35" i="14" s="1"/>
  <c r="AS35" i="14" s="1"/>
  <c r="BC35" i="14" s="1"/>
  <c r="B15" i="14"/>
  <c r="D15" i="14"/>
  <c r="E15" i="14"/>
  <c r="G15" i="14"/>
  <c r="H15" i="14"/>
  <c r="A15" i="18"/>
  <c r="A34" i="18" s="1"/>
  <c r="B15" i="18"/>
  <c r="D15" i="18"/>
  <c r="E15" i="18"/>
  <c r="G15" i="18"/>
  <c r="H15" i="18"/>
  <c r="N15" i="13"/>
  <c r="N15" i="15" s="1"/>
  <c r="O15" i="13"/>
  <c r="O15" i="19" s="1"/>
  <c r="A15" i="9"/>
  <c r="A34" i="9" s="1"/>
  <c r="N34" i="9" s="1"/>
  <c r="B15" i="9"/>
  <c r="C15" i="9"/>
  <c r="D15" i="9"/>
  <c r="E15" i="9"/>
  <c r="F15" i="9"/>
  <c r="G15" i="9"/>
  <c r="H15" i="9"/>
  <c r="A15" i="13"/>
  <c r="A35" i="13" s="1"/>
  <c r="B15" i="13"/>
  <c r="C15" i="13"/>
  <c r="D15" i="13"/>
  <c r="E15" i="13"/>
  <c r="F15" i="13"/>
  <c r="G15" i="13"/>
  <c r="H15" i="13"/>
  <c r="A15" i="17"/>
  <c r="A35" i="17" s="1"/>
  <c r="B15" i="17"/>
  <c r="C15" i="17"/>
  <c r="D15" i="17"/>
  <c r="E15" i="17"/>
  <c r="F15" i="17"/>
  <c r="G15" i="17"/>
  <c r="H15" i="17"/>
  <c r="A15" i="16"/>
  <c r="A35" i="16" s="1"/>
  <c r="AK35" i="16" s="1"/>
  <c r="B15" i="16"/>
  <c r="C15" i="16"/>
  <c r="D15" i="16"/>
  <c r="E15" i="16"/>
  <c r="F15" i="16"/>
  <c r="G15" i="16"/>
  <c r="H15" i="16"/>
  <c r="A15" i="7"/>
  <c r="A35" i="7" s="1"/>
  <c r="O35" i="7" s="1"/>
  <c r="AA35" i="7" s="1"/>
  <c r="B15" i="7"/>
  <c r="C15" i="7"/>
  <c r="D15" i="7"/>
  <c r="E15" i="7"/>
  <c r="F15" i="7"/>
  <c r="G15" i="7"/>
  <c r="H15" i="7"/>
  <c r="H15" i="4"/>
  <c r="G15" i="4"/>
  <c r="F15" i="4"/>
  <c r="E15" i="4"/>
  <c r="D15" i="4"/>
  <c r="C15" i="4"/>
  <c r="B15" i="4"/>
  <c r="A15" i="4"/>
  <c r="A35" i="4" s="1"/>
  <c r="O35" i="4" s="1"/>
  <c r="AA35" i="4" s="1"/>
  <c r="A34" i="1"/>
  <c r="O34" i="1" s="1"/>
  <c r="A35" i="1"/>
  <c r="O35" i="1" s="1"/>
  <c r="J15" i="1"/>
  <c r="K15" i="1"/>
  <c r="M15" i="1"/>
  <c r="N15" i="1"/>
  <c r="P15" i="1"/>
  <c r="Q15" i="1"/>
  <c r="N15" i="19" l="1"/>
  <c r="N15" i="14"/>
  <c r="N35" i="14"/>
  <c r="AG35" i="13"/>
  <c r="R35" i="13"/>
  <c r="N35" i="13"/>
  <c r="AG35" i="12"/>
  <c r="AQ35" i="12" s="1"/>
  <c r="N35" i="12"/>
  <c r="R35" i="12"/>
  <c r="O15" i="18"/>
  <c r="R35" i="10"/>
  <c r="N15" i="18"/>
  <c r="R35" i="14"/>
  <c r="R34" i="9"/>
  <c r="N35" i="10"/>
  <c r="N35" i="19"/>
  <c r="R35" i="19"/>
  <c r="N35" i="15"/>
  <c r="R35" i="15"/>
  <c r="R34" i="18"/>
  <c r="AG34" i="18"/>
  <c r="AS34" i="18" s="1"/>
  <c r="BC34" i="18" s="1"/>
  <c r="N34" i="18"/>
  <c r="O35" i="17"/>
  <c r="AA35" i="17" s="1"/>
  <c r="AK35" i="17"/>
  <c r="AK35" i="4"/>
  <c r="AG34" i="9"/>
  <c r="O15" i="15"/>
  <c r="O15" i="14"/>
  <c r="AG35" i="19"/>
  <c r="AS35" i="19" s="1"/>
  <c r="BC35" i="19" s="1"/>
  <c r="AG35" i="15"/>
  <c r="AS35" i="15" s="1"/>
  <c r="O35" i="16"/>
  <c r="AA35" i="16" s="1"/>
  <c r="AU23" i="19" l="1"/>
  <c r="AS23" i="19"/>
  <c r="BC23" i="19" s="1"/>
  <c r="S23" i="19"/>
  <c r="R23" i="19"/>
  <c r="I23" i="19"/>
  <c r="Z23" i="19" s="1"/>
  <c r="AO23" i="19" s="1"/>
  <c r="BA23" i="19" s="1"/>
  <c r="BK23" i="19" s="1"/>
  <c r="BA22" i="19"/>
  <c r="BK22" i="19" s="1"/>
  <c r="AS22" i="19"/>
  <c r="Z22" i="19"/>
  <c r="R22" i="19"/>
  <c r="H14" i="19"/>
  <c r="G14" i="19"/>
  <c r="E14" i="19"/>
  <c r="D14" i="19"/>
  <c r="B14" i="19"/>
  <c r="A14" i="19"/>
  <c r="A34" i="19" s="1"/>
  <c r="N34" i="19" s="1"/>
  <c r="H13" i="19"/>
  <c r="G13" i="19"/>
  <c r="E13" i="19"/>
  <c r="D13" i="19"/>
  <c r="B13" i="19"/>
  <c r="A13" i="19"/>
  <c r="A33" i="19" s="1"/>
  <c r="N33" i="19" s="1"/>
  <c r="H12" i="19"/>
  <c r="G12" i="19"/>
  <c r="E12" i="19"/>
  <c r="D12" i="19"/>
  <c r="B12" i="19"/>
  <c r="A12" i="19"/>
  <c r="A32" i="19" s="1"/>
  <c r="R32" i="19" s="1"/>
  <c r="H11" i="19"/>
  <c r="G11" i="19"/>
  <c r="E11" i="19"/>
  <c r="D11" i="19"/>
  <c r="B11" i="19"/>
  <c r="A11" i="19"/>
  <c r="A31" i="19" s="1"/>
  <c r="AG31" i="19" s="1"/>
  <c r="AS31" i="19" s="1"/>
  <c r="BC31" i="19" s="1"/>
  <c r="H10" i="19"/>
  <c r="G10" i="19"/>
  <c r="E10" i="19"/>
  <c r="D10" i="19"/>
  <c r="B10" i="19"/>
  <c r="A10" i="19"/>
  <c r="A30" i="19" s="1"/>
  <c r="N30" i="19" s="1"/>
  <c r="H9" i="19"/>
  <c r="G9" i="19"/>
  <c r="E9" i="19"/>
  <c r="D9" i="19"/>
  <c r="B9" i="19"/>
  <c r="A9" i="19"/>
  <c r="A29" i="19" s="1"/>
  <c r="H8" i="19"/>
  <c r="G8" i="19"/>
  <c r="E8" i="19"/>
  <c r="D8" i="19"/>
  <c r="B8" i="19"/>
  <c r="A8" i="19"/>
  <c r="A28" i="19" s="1"/>
  <c r="H7" i="19"/>
  <c r="G7" i="19"/>
  <c r="E7" i="19"/>
  <c r="D7" i="19"/>
  <c r="B7" i="19"/>
  <c r="A7" i="19"/>
  <c r="A27" i="19" s="1"/>
  <c r="N27" i="19" s="1"/>
  <c r="H6" i="19"/>
  <c r="G6" i="19"/>
  <c r="E6" i="19"/>
  <c r="D6" i="19"/>
  <c r="B6" i="19"/>
  <c r="A6" i="19"/>
  <c r="A26" i="19" s="1"/>
  <c r="N26" i="19" s="1"/>
  <c r="H5" i="19"/>
  <c r="G5" i="19"/>
  <c r="E5" i="19"/>
  <c r="D5" i="19"/>
  <c r="B5" i="19"/>
  <c r="A5" i="19"/>
  <c r="A25" i="19" s="1"/>
  <c r="H4" i="19"/>
  <c r="G4" i="19"/>
  <c r="E4" i="19"/>
  <c r="D4" i="19"/>
  <c r="B4" i="19"/>
  <c r="B24" i="19" s="1"/>
  <c r="A4" i="19"/>
  <c r="A24" i="19" s="1"/>
  <c r="N24" i="19" s="1"/>
  <c r="H3" i="19"/>
  <c r="H22" i="19" s="1"/>
  <c r="G3" i="19"/>
  <c r="G22" i="19" s="1"/>
  <c r="F3" i="19"/>
  <c r="F22" i="19" s="1"/>
  <c r="E3" i="19"/>
  <c r="E22" i="19" s="1"/>
  <c r="V22" i="19" s="1"/>
  <c r="D3" i="19"/>
  <c r="D22" i="19" s="1"/>
  <c r="AJ22" i="19" s="1"/>
  <c r="AV22" i="19" s="1"/>
  <c r="BF22" i="19" s="1"/>
  <c r="C3" i="19"/>
  <c r="C22" i="19" s="1"/>
  <c r="B3" i="19"/>
  <c r="B22" i="19" s="1"/>
  <c r="A3" i="19"/>
  <c r="H2" i="19"/>
  <c r="H21" i="19" s="1"/>
  <c r="G2" i="19"/>
  <c r="G21" i="19" s="1"/>
  <c r="F2" i="19"/>
  <c r="F21" i="19" s="1"/>
  <c r="E2" i="19"/>
  <c r="E21" i="19" s="1"/>
  <c r="V21" i="19" s="1"/>
  <c r="D2" i="19"/>
  <c r="D21" i="19" s="1"/>
  <c r="C2" i="19"/>
  <c r="C21" i="19" s="1"/>
  <c r="T21" i="19" s="1"/>
  <c r="B2" i="19"/>
  <c r="B21" i="19" s="1"/>
  <c r="AH21" i="19" s="1"/>
  <c r="AT21" i="19" s="1"/>
  <c r="BD21" i="19" s="1"/>
  <c r="AU22" i="18"/>
  <c r="AS22" i="18"/>
  <c r="BC22" i="18" s="1"/>
  <c r="R22" i="18"/>
  <c r="S22" i="18"/>
  <c r="BA21" i="18"/>
  <c r="BK21" i="18" s="1"/>
  <c r="AS21" i="18"/>
  <c r="Z21" i="18"/>
  <c r="R21" i="18"/>
  <c r="H14" i="18"/>
  <c r="G14" i="18"/>
  <c r="E14" i="18"/>
  <c r="D14" i="18"/>
  <c r="B14" i="18"/>
  <c r="A14" i="18"/>
  <c r="A33" i="18" s="1"/>
  <c r="H13" i="18"/>
  <c r="G13" i="18"/>
  <c r="E13" i="18"/>
  <c r="D13" i="18"/>
  <c r="B13" i="18"/>
  <c r="A13" i="18"/>
  <c r="A32" i="18" s="1"/>
  <c r="R32" i="18" s="1"/>
  <c r="H12" i="18"/>
  <c r="G12" i="18"/>
  <c r="E12" i="18"/>
  <c r="D12" i="18"/>
  <c r="B12" i="18"/>
  <c r="A12" i="18"/>
  <c r="A31" i="18" s="1"/>
  <c r="H11" i="18"/>
  <c r="G11" i="18"/>
  <c r="E11" i="18"/>
  <c r="D11" i="18"/>
  <c r="B11" i="18"/>
  <c r="A11" i="18"/>
  <c r="A30" i="18" s="1"/>
  <c r="R30" i="18" s="1"/>
  <c r="H10" i="18"/>
  <c r="G10" i="18"/>
  <c r="E10" i="18"/>
  <c r="D10" i="18"/>
  <c r="B10" i="18"/>
  <c r="A10" i="18"/>
  <c r="A29" i="18" s="1"/>
  <c r="H9" i="18"/>
  <c r="G9" i="18"/>
  <c r="E9" i="18"/>
  <c r="D9" i="18"/>
  <c r="B9" i="18"/>
  <c r="A9" i="18"/>
  <c r="A28" i="18" s="1"/>
  <c r="R28" i="18" s="1"/>
  <c r="H8" i="18"/>
  <c r="G8" i="18"/>
  <c r="E8" i="18"/>
  <c r="D8" i="18"/>
  <c r="B8" i="18"/>
  <c r="A8" i="18"/>
  <c r="A27" i="18" s="1"/>
  <c r="R27" i="18" s="1"/>
  <c r="H7" i="18"/>
  <c r="G7" i="18"/>
  <c r="E7" i="18"/>
  <c r="D7" i="18"/>
  <c r="B7" i="18"/>
  <c r="A7" i="18"/>
  <c r="A26" i="18" s="1"/>
  <c r="H6" i="18"/>
  <c r="G6" i="18"/>
  <c r="E6" i="18"/>
  <c r="D6" i="18"/>
  <c r="B6" i="18"/>
  <c r="A6" i="18"/>
  <c r="A25" i="18" s="1"/>
  <c r="H5" i="18"/>
  <c r="G5" i="18"/>
  <c r="E5" i="18"/>
  <c r="D5" i="18"/>
  <c r="B5" i="18"/>
  <c r="A5" i="18"/>
  <c r="A24" i="18" s="1"/>
  <c r="N24" i="18" s="1"/>
  <c r="H4" i="18"/>
  <c r="G4" i="18"/>
  <c r="E4" i="18"/>
  <c r="D4" i="18"/>
  <c r="B4" i="18"/>
  <c r="B23" i="18" s="1"/>
  <c r="A4" i="18"/>
  <c r="A23" i="18" s="1"/>
  <c r="H3" i="18"/>
  <c r="H21" i="18" s="1"/>
  <c r="G3" i="18"/>
  <c r="G21" i="18" s="1"/>
  <c r="F3" i="18"/>
  <c r="F21" i="18" s="1"/>
  <c r="E3" i="18"/>
  <c r="E21" i="18" s="1"/>
  <c r="V21" i="18" s="1"/>
  <c r="D3" i="18"/>
  <c r="D21" i="18" s="1"/>
  <c r="C3" i="18"/>
  <c r="C21" i="18" s="1"/>
  <c r="B3" i="18"/>
  <c r="B21" i="18" s="1"/>
  <c r="A3" i="18"/>
  <c r="H2" i="18"/>
  <c r="H20" i="18" s="1"/>
  <c r="G2" i="18"/>
  <c r="G20" i="18" s="1"/>
  <c r="X20" i="18" s="1"/>
  <c r="F2" i="18"/>
  <c r="F20" i="18" s="1"/>
  <c r="W20" i="18" s="1"/>
  <c r="E2" i="18"/>
  <c r="E20" i="18" s="1"/>
  <c r="AK20" i="18" s="1"/>
  <c r="AW20" i="18" s="1"/>
  <c r="BG20" i="18" s="1"/>
  <c r="D2" i="18"/>
  <c r="D20" i="18" s="1"/>
  <c r="C2" i="18"/>
  <c r="C20" i="18" s="1"/>
  <c r="T20" i="18" s="1"/>
  <c r="B2" i="18"/>
  <c r="B20" i="18" s="1"/>
  <c r="AH20" i="18" s="1"/>
  <c r="AT20" i="18" s="1"/>
  <c r="BD20" i="18" s="1"/>
  <c r="AG23" i="17"/>
  <c r="AQ23" i="17" s="1"/>
  <c r="AF23" i="17"/>
  <c r="AE23" i="17"/>
  <c r="AO23" i="17" s="1"/>
  <c r="AD23" i="17"/>
  <c r="AN23" i="17" s="1"/>
  <c r="AC23" i="17"/>
  <c r="AA23" i="17"/>
  <c r="AK23" i="17" s="1"/>
  <c r="I23" i="17"/>
  <c r="W23" i="17" s="1"/>
  <c r="AI23" i="17" s="1"/>
  <c r="AS23" i="17" s="1"/>
  <c r="AI22" i="17"/>
  <c r="AS22" i="17" s="1"/>
  <c r="AA22" i="17"/>
  <c r="H14" i="17"/>
  <c r="G14" i="17"/>
  <c r="F14" i="17"/>
  <c r="E14" i="17"/>
  <c r="D14" i="17"/>
  <c r="C14" i="17"/>
  <c r="B14" i="17"/>
  <c r="A14" i="17"/>
  <c r="A34" i="17" s="1"/>
  <c r="H13" i="17"/>
  <c r="G13" i="17"/>
  <c r="F13" i="17"/>
  <c r="E13" i="17"/>
  <c r="D13" i="17"/>
  <c r="C13" i="17"/>
  <c r="B13" i="17"/>
  <c r="A13" i="17"/>
  <c r="A33" i="17" s="1"/>
  <c r="O33" i="17" s="1"/>
  <c r="AA33" i="17" s="1"/>
  <c r="H12" i="17"/>
  <c r="G12" i="17"/>
  <c r="F12" i="17"/>
  <c r="E12" i="17"/>
  <c r="D12" i="17"/>
  <c r="C12" i="17"/>
  <c r="B12" i="17"/>
  <c r="A12" i="17"/>
  <c r="A32" i="17" s="1"/>
  <c r="H11" i="17"/>
  <c r="G11" i="17"/>
  <c r="F11" i="17"/>
  <c r="E11" i="17"/>
  <c r="D11" i="17"/>
  <c r="C11" i="17"/>
  <c r="B11" i="17"/>
  <c r="A11" i="17"/>
  <c r="A31" i="17" s="1"/>
  <c r="AK31" i="17" s="1"/>
  <c r="H10" i="17"/>
  <c r="G10" i="17"/>
  <c r="F10" i="17"/>
  <c r="E10" i="17"/>
  <c r="D10" i="17"/>
  <c r="C10" i="17"/>
  <c r="B10" i="17"/>
  <c r="A10" i="17"/>
  <c r="A30" i="17" s="1"/>
  <c r="AK30" i="17" s="1"/>
  <c r="H9" i="17"/>
  <c r="G9" i="17"/>
  <c r="F9" i="17"/>
  <c r="E9" i="17"/>
  <c r="D9" i="17"/>
  <c r="C9" i="17"/>
  <c r="B9" i="17"/>
  <c r="A9" i="17"/>
  <c r="A29" i="17" s="1"/>
  <c r="AK29" i="17" s="1"/>
  <c r="H8" i="17"/>
  <c r="G8" i="17"/>
  <c r="F8" i="17"/>
  <c r="E8" i="17"/>
  <c r="D8" i="17"/>
  <c r="C8" i="17"/>
  <c r="B8" i="17"/>
  <c r="A8" i="17"/>
  <c r="A28" i="17" s="1"/>
  <c r="H7" i="17"/>
  <c r="G7" i="17"/>
  <c r="F7" i="17"/>
  <c r="E7" i="17"/>
  <c r="D7" i="17"/>
  <c r="C7" i="17"/>
  <c r="B7" i="17"/>
  <c r="A7" i="17"/>
  <c r="A27" i="17" s="1"/>
  <c r="H6" i="17"/>
  <c r="G6" i="17"/>
  <c r="F6" i="17"/>
  <c r="E6" i="17"/>
  <c r="D6" i="17"/>
  <c r="C6" i="17"/>
  <c r="B6" i="17"/>
  <c r="A6" i="17"/>
  <c r="A26" i="17" s="1"/>
  <c r="O26" i="17" s="1"/>
  <c r="AA26" i="17" s="1"/>
  <c r="H5" i="17"/>
  <c r="G5" i="17"/>
  <c r="F5" i="17"/>
  <c r="E5" i="17"/>
  <c r="D5" i="17"/>
  <c r="C5" i="17"/>
  <c r="B5" i="17"/>
  <c r="A5" i="17"/>
  <c r="A25" i="17" s="1"/>
  <c r="O25" i="17" s="1"/>
  <c r="AA25" i="17" s="1"/>
  <c r="H4" i="17"/>
  <c r="G4" i="17"/>
  <c r="F4" i="17"/>
  <c r="E4" i="17"/>
  <c r="D4" i="17"/>
  <c r="C4" i="17"/>
  <c r="B4" i="17"/>
  <c r="B24" i="17" s="1"/>
  <c r="A4" i="17"/>
  <c r="A24" i="17" s="1"/>
  <c r="O24" i="17" s="1"/>
  <c r="AA24" i="17" s="1"/>
  <c r="H3" i="17"/>
  <c r="H22" i="17" s="1"/>
  <c r="V22" i="17" s="1"/>
  <c r="AH22" i="17" s="1"/>
  <c r="AR22" i="17" s="1"/>
  <c r="G3" i="17"/>
  <c r="G22" i="17" s="1"/>
  <c r="U22" i="17" s="1"/>
  <c r="AG22" i="17" s="1"/>
  <c r="AQ22" i="17" s="1"/>
  <c r="F3" i="17"/>
  <c r="F22" i="17" s="1"/>
  <c r="T22" i="17" s="1"/>
  <c r="AF22" i="17" s="1"/>
  <c r="AP22" i="17" s="1"/>
  <c r="E3" i="17"/>
  <c r="E22" i="17" s="1"/>
  <c r="S22" i="17" s="1"/>
  <c r="AE22" i="17" s="1"/>
  <c r="AO22" i="17" s="1"/>
  <c r="D3" i="17"/>
  <c r="D22" i="17" s="1"/>
  <c r="R22" i="17" s="1"/>
  <c r="AD22" i="17" s="1"/>
  <c r="AN22" i="17" s="1"/>
  <c r="C3" i="17"/>
  <c r="C22" i="17" s="1"/>
  <c r="Q22" i="17" s="1"/>
  <c r="AC22" i="17" s="1"/>
  <c r="AM22" i="17" s="1"/>
  <c r="B3" i="17"/>
  <c r="B22" i="17" s="1"/>
  <c r="P22" i="17" s="1"/>
  <c r="AB22" i="17" s="1"/>
  <c r="AL22" i="17" s="1"/>
  <c r="A3" i="17"/>
  <c r="H2" i="17"/>
  <c r="H21" i="17" s="1"/>
  <c r="V21" i="17" s="1"/>
  <c r="AH21" i="17" s="1"/>
  <c r="AR21" i="17" s="1"/>
  <c r="G2" i="17"/>
  <c r="G21" i="17" s="1"/>
  <c r="U21" i="17" s="1"/>
  <c r="AG21" i="17" s="1"/>
  <c r="AQ21" i="17" s="1"/>
  <c r="F2" i="17"/>
  <c r="F21" i="17" s="1"/>
  <c r="T21" i="17" s="1"/>
  <c r="AF21" i="17" s="1"/>
  <c r="AP21" i="17" s="1"/>
  <c r="E2" i="17"/>
  <c r="E21" i="17" s="1"/>
  <c r="S21" i="17" s="1"/>
  <c r="AE21" i="17" s="1"/>
  <c r="AO21" i="17" s="1"/>
  <c r="D2" i="17"/>
  <c r="D21" i="17" s="1"/>
  <c r="R21" i="17" s="1"/>
  <c r="AD21" i="17" s="1"/>
  <c r="AN21" i="17" s="1"/>
  <c r="C2" i="17"/>
  <c r="C21" i="17" s="1"/>
  <c r="Q21" i="17" s="1"/>
  <c r="AC21" i="17" s="1"/>
  <c r="AM21" i="17" s="1"/>
  <c r="B2" i="17"/>
  <c r="B21" i="17" s="1"/>
  <c r="P21" i="17" s="1"/>
  <c r="AB21" i="17" s="1"/>
  <c r="AL21" i="17" s="1"/>
  <c r="AG23" i="16"/>
  <c r="AQ23" i="16" s="1"/>
  <c r="AF23" i="16"/>
  <c r="AC23" i="16"/>
  <c r="AA23" i="16"/>
  <c r="AK23" i="16" s="1"/>
  <c r="AE23" i="16"/>
  <c r="AO23" i="16" s="1"/>
  <c r="AD23" i="16"/>
  <c r="AN23" i="16" s="1"/>
  <c r="I23" i="16"/>
  <c r="AI22" i="16"/>
  <c r="AS22" i="16" s="1"/>
  <c r="AA22" i="16"/>
  <c r="H14" i="16"/>
  <c r="G14" i="16"/>
  <c r="F14" i="16"/>
  <c r="E14" i="16"/>
  <c r="D14" i="16"/>
  <c r="C14" i="16"/>
  <c r="B14" i="16"/>
  <c r="A14" i="16"/>
  <c r="A34" i="16" s="1"/>
  <c r="H13" i="16"/>
  <c r="G13" i="16"/>
  <c r="F13" i="16"/>
  <c r="E13" i="16"/>
  <c r="D13" i="16"/>
  <c r="C13" i="16"/>
  <c r="B13" i="16"/>
  <c r="A13" i="16"/>
  <c r="A33" i="16" s="1"/>
  <c r="H12" i="16"/>
  <c r="G12" i="16"/>
  <c r="F12" i="16"/>
  <c r="E12" i="16"/>
  <c r="D12" i="16"/>
  <c r="C12" i="16"/>
  <c r="B12" i="16"/>
  <c r="A12" i="16"/>
  <c r="A32" i="16" s="1"/>
  <c r="H11" i="16"/>
  <c r="G11" i="16"/>
  <c r="F11" i="16"/>
  <c r="E11" i="16"/>
  <c r="D11" i="16"/>
  <c r="C11" i="16"/>
  <c r="B11" i="16"/>
  <c r="A11" i="16"/>
  <c r="A31" i="16" s="1"/>
  <c r="H10" i="16"/>
  <c r="G10" i="16"/>
  <c r="F10" i="16"/>
  <c r="E10" i="16"/>
  <c r="D10" i="16"/>
  <c r="C10" i="16"/>
  <c r="B10" i="16"/>
  <c r="A10" i="16"/>
  <c r="A30" i="16" s="1"/>
  <c r="H9" i="16"/>
  <c r="G9" i="16"/>
  <c r="F9" i="16"/>
  <c r="E9" i="16"/>
  <c r="D9" i="16"/>
  <c r="C9" i="16"/>
  <c r="B9" i="16"/>
  <c r="A9" i="16"/>
  <c r="A29" i="16" s="1"/>
  <c r="H8" i="16"/>
  <c r="G8" i="16"/>
  <c r="F8" i="16"/>
  <c r="E8" i="16"/>
  <c r="D8" i="16"/>
  <c r="C8" i="16"/>
  <c r="B8" i="16"/>
  <c r="A8" i="16"/>
  <c r="A28" i="16" s="1"/>
  <c r="H7" i="16"/>
  <c r="G7" i="16"/>
  <c r="F7" i="16"/>
  <c r="E7" i="16"/>
  <c r="D7" i="16"/>
  <c r="C7" i="16"/>
  <c r="B7" i="16"/>
  <c r="A7" i="16"/>
  <c r="A27" i="16" s="1"/>
  <c r="O27" i="16" s="1"/>
  <c r="AA27" i="16" s="1"/>
  <c r="H6" i="16"/>
  <c r="G6" i="16"/>
  <c r="F6" i="16"/>
  <c r="E6" i="16"/>
  <c r="D6" i="16"/>
  <c r="C6" i="16"/>
  <c r="B6" i="16"/>
  <c r="A6" i="16"/>
  <c r="A26" i="16" s="1"/>
  <c r="H5" i="16"/>
  <c r="G5" i="16"/>
  <c r="F5" i="16"/>
  <c r="E5" i="16"/>
  <c r="D5" i="16"/>
  <c r="C5" i="16"/>
  <c r="B5" i="16"/>
  <c r="A5" i="16"/>
  <c r="A25" i="16" s="1"/>
  <c r="O25" i="16" s="1"/>
  <c r="AA25" i="16" s="1"/>
  <c r="H4" i="16"/>
  <c r="H24" i="16" s="1"/>
  <c r="G4" i="16"/>
  <c r="F4" i="16"/>
  <c r="E4" i="16"/>
  <c r="D4" i="16"/>
  <c r="C4" i="16"/>
  <c r="B4" i="16"/>
  <c r="A4" i="16"/>
  <c r="A24" i="16" s="1"/>
  <c r="H3" i="16"/>
  <c r="H22" i="16" s="1"/>
  <c r="V22" i="16" s="1"/>
  <c r="AH22" i="16" s="1"/>
  <c r="AR22" i="16" s="1"/>
  <c r="G3" i="16"/>
  <c r="G22" i="16" s="1"/>
  <c r="U22" i="16" s="1"/>
  <c r="AG22" i="16" s="1"/>
  <c r="AQ22" i="16" s="1"/>
  <c r="F3" i="16"/>
  <c r="F22" i="16" s="1"/>
  <c r="T22" i="16" s="1"/>
  <c r="AF22" i="16" s="1"/>
  <c r="AP22" i="16" s="1"/>
  <c r="E3" i="16"/>
  <c r="E22" i="16" s="1"/>
  <c r="S22" i="16" s="1"/>
  <c r="AE22" i="16" s="1"/>
  <c r="AO22" i="16" s="1"/>
  <c r="D3" i="16"/>
  <c r="D22" i="16" s="1"/>
  <c r="R22" i="16" s="1"/>
  <c r="AD22" i="16" s="1"/>
  <c r="AN22" i="16" s="1"/>
  <c r="C3" i="16"/>
  <c r="C22" i="16" s="1"/>
  <c r="Q22" i="16" s="1"/>
  <c r="AC22" i="16" s="1"/>
  <c r="AM22" i="16" s="1"/>
  <c r="B3" i="16"/>
  <c r="B22" i="16" s="1"/>
  <c r="P22" i="16" s="1"/>
  <c r="AB22" i="16" s="1"/>
  <c r="AL22" i="16" s="1"/>
  <c r="A3" i="16"/>
  <c r="H2" i="16"/>
  <c r="H21" i="16" s="1"/>
  <c r="V21" i="16" s="1"/>
  <c r="AH21" i="16" s="1"/>
  <c r="AR21" i="16" s="1"/>
  <c r="G2" i="16"/>
  <c r="G21" i="16" s="1"/>
  <c r="U21" i="16" s="1"/>
  <c r="AG21" i="16" s="1"/>
  <c r="AQ21" i="16" s="1"/>
  <c r="F2" i="16"/>
  <c r="F21" i="16" s="1"/>
  <c r="T21" i="16" s="1"/>
  <c r="AF21" i="16" s="1"/>
  <c r="AP21" i="16" s="1"/>
  <c r="E2" i="16"/>
  <c r="E21" i="16" s="1"/>
  <c r="S21" i="16" s="1"/>
  <c r="AE21" i="16" s="1"/>
  <c r="AO21" i="16" s="1"/>
  <c r="D2" i="16"/>
  <c r="D21" i="16" s="1"/>
  <c r="R21" i="16" s="1"/>
  <c r="AD21" i="16" s="1"/>
  <c r="AN21" i="16" s="1"/>
  <c r="C2" i="16"/>
  <c r="C21" i="16" s="1"/>
  <c r="Q21" i="16" s="1"/>
  <c r="AC21" i="16" s="1"/>
  <c r="AM21" i="16" s="1"/>
  <c r="B2" i="16"/>
  <c r="B21" i="16" s="1"/>
  <c r="P21" i="16" s="1"/>
  <c r="AB21" i="16" s="1"/>
  <c r="AL21" i="16" s="1"/>
  <c r="O34" i="17" l="1"/>
  <c r="AA34" i="17" s="1"/>
  <c r="AK34" i="17"/>
  <c r="AK34" i="16"/>
  <c r="O34" i="16"/>
  <c r="AA34" i="16" s="1"/>
  <c r="R33" i="18"/>
  <c r="AG33" i="18"/>
  <c r="AS33" i="18" s="1"/>
  <c r="BC33" i="18" s="1"/>
  <c r="N33" i="18"/>
  <c r="AI20" i="18"/>
  <c r="AU20" i="18" s="1"/>
  <c r="BE20" i="18" s="1"/>
  <c r="X21" i="18"/>
  <c r="AM21" i="18"/>
  <c r="AY21" i="18" s="1"/>
  <c r="BI21" i="18" s="1"/>
  <c r="AI22" i="19"/>
  <c r="AU22" i="19" s="1"/>
  <c r="BE22" i="19" s="1"/>
  <c r="T22" i="19"/>
  <c r="AH21" i="18"/>
  <c r="AT21" i="18" s="1"/>
  <c r="BD21" i="18" s="1"/>
  <c r="S21" i="18"/>
  <c r="Y21" i="19"/>
  <c r="AN21" i="19"/>
  <c r="AZ21" i="19" s="1"/>
  <c r="BJ21" i="19" s="1"/>
  <c r="Y22" i="19"/>
  <c r="AN22" i="19"/>
  <c r="AZ22" i="19" s="1"/>
  <c r="BJ22" i="19" s="1"/>
  <c r="AG29" i="19"/>
  <c r="AS29" i="19" s="1"/>
  <c r="BC29" i="19" s="1"/>
  <c r="N29" i="19"/>
  <c r="R33" i="19"/>
  <c r="AL20" i="18"/>
  <c r="AX20" i="18" s="1"/>
  <c r="BH20" i="18" s="1"/>
  <c r="AG33" i="19"/>
  <c r="AS33" i="19" s="1"/>
  <c r="BC33" i="19" s="1"/>
  <c r="AM20" i="18"/>
  <c r="AY20" i="18" s="1"/>
  <c r="BI20" i="18" s="1"/>
  <c r="S21" i="19"/>
  <c r="AI21" i="19"/>
  <c r="AU21" i="19" s="1"/>
  <c r="BE21" i="19" s="1"/>
  <c r="U22" i="19"/>
  <c r="R34" i="19"/>
  <c r="N31" i="19"/>
  <c r="AK26" i="17"/>
  <c r="R31" i="19"/>
  <c r="AK21" i="18"/>
  <c r="AW21" i="18" s="1"/>
  <c r="BG21" i="18" s="1"/>
  <c r="AK25" i="17"/>
  <c r="O29" i="17"/>
  <c r="AA29" i="17" s="1"/>
  <c r="N32" i="19"/>
  <c r="AH23" i="19"/>
  <c r="AT23" i="19" s="1"/>
  <c r="BD23" i="19" s="1"/>
  <c r="AZ23" i="19"/>
  <c r="BJ23" i="19" s="1"/>
  <c r="W22" i="19"/>
  <c r="AL22" i="19"/>
  <c r="AX22" i="19" s="1"/>
  <c r="BH22" i="19" s="1"/>
  <c r="AM21" i="19"/>
  <c r="AY21" i="19" s="1"/>
  <c r="BI21" i="19" s="1"/>
  <c r="X21" i="19"/>
  <c r="AK22" i="19"/>
  <c r="AW22" i="19" s="1"/>
  <c r="BG22" i="19" s="1"/>
  <c r="AJ21" i="19"/>
  <c r="AV21" i="19" s="1"/>
  <c r="BF21" i="19" s="1"/>
  <c r="U21" i="19"/>
  <c r="W21" i="19"/>
  <c r="AL21" i="19"/>
  <c r="AX21" i="19" s="1"/>
  <c r="BH21" i="19" s="1"/>
  <c r="N25" i="19"/>
  <c r="AG25" i="19"/>
  <c r="AS25" i="19" s="1"/>
  <c r="BC25" i="19" s="1"/>
  <c r="R25" i="19"/>
  <c r="R29" i="19"/>
  <c r="AH22" i="19"/>
  <c r="AT22" i="19" s="1"/>
  <c r="BD22" i="19" s="1"/>
  <c r="S22" i="19"/>
  <c r="I24" i="19"/>
  <c r="AK21" i="19"/>
  <c r="AW21" i="19" s="1"/>
  <c r="BG21" i="19" s="1"/>
  <c r="R24" i="19"/>
  <c r="R26" i="19"/>
  <c r="AG32" i="19"/>
  <c r="AS32" i="19" s="1"/>
  <c r="BC32" i="19" s="1"/>
  <c r="AG27" i="19"/>
  <c r="AS27" i="19" s="1"/>
  <c r="BC27" i="19" s="1"/>
  <c r="R27" i="19"/>
  <c r="AG28" i="19"/>
  <c r="AS28" i="19" s="1"/>
  <c r="BC28" i="19" s="1"/>
  <c r="R28" i="19"/>
  <c r="N28" i="19"/>
  <c r="AY23" i="19"/>
  <c r="AW23" i="19"/>
  <c r="AV23" i="19"/>
  <c r="AG24" i="19"/>
  <c r="AS24" i="19" s="1"/>
  <c r="BC24" i="19" s="1"/>
  <c r="AG26" i="19"/>
  <c r="AS26" i="19" s="1"/>
  <c r="BC26" i="19" s="1"/>
  <c r="AG34" i="19"/>
  <c r="AS34" i="19" s="1"/>
  <c r="BC34" i="19" s="1"/>
  <c r="AG30" i="19"/>
  <c r="AS30" i="19" s="1"/>
  <c r="BC30" i="19" s="1"/>
  <c r="R30" i="19"/>
  <c r="AM22" i="19"/>
  <c r="AY22" i="19" s="1"/>
  <c r="BI22" i="19" s="1"/>
  <c r="X22" i="19"/>
  <c r="N23" i="18"/>
  <c r="AG23" i="18"/>
  <c r="AS23" i="18" s="1"/>
  <c r="BC23" i="18" s="1"/>
  <c r="R23" i="18"/>
  <c r="AG26" i="18"/>
  <c r="AS26" i="18" s="1"/>
  <c r="BC26" i="18" s="1"/>
  <c r="N26" i="18"/>
  <c r="R26" i="18"/>
  <c r="U20" i="18"/>
  <c r="AJ20" i="18"/>
  <c r="AV20" i="18" s="1"/>
  <c r="BF20" i="18" s="1"/>
  <c r="AJ21" i="18"/>
  <c r="AV21" i="18" s="1"/>
  <c r="BF21" i="18" s="1"/>
  <c r="U21" i="18"/>
  <c r="H23" i="18"/>
  <c r="Y22" i="18"/>
  <c r="S20" i="18"/>
  <c r="AG32" i="18"/>
  <c r="AS32" i="18" s="1"/>
  <c r="BC32" i="18" s="1"/>
  <c r="R24" i="18"/>
  <c r="Y20" i="18"/>
  <c r="AN20" i="18"/>
  <c r="AZ20" i="18" s="1"/>
  <c r="BJ20" i="18" s="1"/>
  <c r="I22" i="18"/>
  <c r="Z22" i="18" s="1"/>
  <c r="AW22" i="18" s="1"/>
  <c r="N28" i="18"/>
  <c r="R25" i="18"/>
  <c r="AG25" i="18"/>
  <c r="AS25" i="18" s="1"/>
  <c r="BC25" i="18" s="1"/>
  <c r="N25" i="18"/>
  <c r="N27" i="18"/>
  <c r="AG27" i="18"/>
  <c r="AS27" i="18" s="1"/>
  <c r="BC27" i="18" s="1"/>
  <c r="AG29" i="18"/>
  <c r="AS29" i="18" s="1"/>
  <c r="BC29" i="18" s="1"/>
  <c r="R29" i="18"/>
  <c r="N29" i="18"/>
  <c r="N30" i="18"/>
  <c r="AG30" i="18"/>
  <c r="AS30" i="18" s="1"/>
  <c r="BC30" i="18" s="1"/>
  <c r="N31" i="18"/>
  <c r="R31" i="18"/>
  <c r="AG31" i="18"/>
  <c r="AS31" i="18" s="1"/>
  <c r="BC31" i="18" s="1"/>
  <c r="AG24" i="18"/>
  <c r="AS24" i="18" s="1"/>
  <c r="BC24" i="18" s="1"/>
  <c r="AL21" i="18"/>
  <c r="AX21" i="18" s="1"/>
  <c r="BH21" i="18" s="1"/>
  <c r="W21" i="18"/>
  <c r="N32" i="18"/>
  <c r="AG28" i="18"/>
  <c r="AS28" i="18" s="1"/>
  <c r="BC28" i="18" s="1"/>
  <c r="V20" i="18"/>
  <c r="AN21" i="18"/>
  <c r="AZ21" i="18" s="1"/>
  <c r="BJ21" i="18" s="1"/>
  <c r="Y21" i="18"/>
  <c r="AI21" i="18"/>
  <c r="AU21" i="18" s="1"/>
  <c r="BE21" i="18" s="1"/>
  <c r="T21" i="18"/>
  <c r="AK24" i="17"/>
  <c r="AK27" i="17"/>
  <c r="O27" i="17"/>
  <c r="AA27" i="17" s="1"/>
  <c r="AK28" i="17"/>
  <c r="O28" i="17"/>
  <c r="AA28" i="17" s="1"/>
  <c r="O32" i="17"/>
  <c r="AA32" i="17" s="1"/>
  <c r="AK32" i="17"/>
  <c r="O30" i="17"/>
  <c r="AA30" i="17" s="1"/>
  <c r="O31" i="17"/>
  <c r="AA31" i="17" s="1"/>
  <c r="I24" i="17"/>
  <c r="AK33" i="17"/>
  <c r="P23" i="17"/>
  <c r="AB23" i="17" s="1"/>
  <c r="AL23" i="17" s="1"/>
  <c r="V23" i="17"/>
  <c r="AH23" i="17" s="1"/>
  <c r="AR23" i="17" s="1"/>
  <c r="O28" i="16"/>
  <c r="AA28" i="16" s="1"/>
  <c r="AK28" i="16"/>
  <c r="W23" i="16"/>
  <c r="AI23" i="16" s="1"/>
  <c r="AS23" i="16" s="1"/>
  <c r="P23" i="16"/>
  <c r="AB23" i="16" s="1"/>
  <c r="AL23" i="16" s="1"/>
  <c r="AK24" i="16"/>
  <c r="O24" i="16"/>
  <c r="AA24" i="16" s="1"/>
  <c r="AK26" i="16"/>
  <c r="O26" i="16"/>
  <c r="AA26" i="16" s="1"/>
  <c r="O29" i="16"/>
  <c r="AA29" i="16" s="1"/>
  <c r="AK29" i="16"/>
  <c r="O30" i="16"/>
  <c r="AA30" i="16" s="1"/>
  <c r="AK30" i="16"/>
  <c r="O31" i="16"/>
  <c r="AA31" i="16" s="1"/>
  <c r="AK31" i="16"/>
  <c r="O32" i="16"/>
  <c r="AA32" i="16" s="1"/>
  <c r="AK32" i="16"/>
  <c r="O33" i="16"/>
  <c r="AA33" i="16" s="1"/>
  <c r="AK33" i="16"/>
  <c r="B24" i="16"/>
  <c r="AK25" i="16"/>
  <c r="AK27" i="16"/>
  <c r="V23" i="16"/>
  <c r="AH23" i="16" s="1"/>
  <c r="AR23" i="16" s="1"/>
  <c r="AB24" i="17" l="1"/>
  <c r="J24" i="19"/>
  <c r="K24" i="19" s="1"/>
  <c r="L24" i="19" s="1"/>
  <c r="O24" i="19"/>
  <c r="AY22" i="18"/>
  <c r="AN22" i="18"/>
  <c r="AZ22" i="18" s="1"/>
  <c r="BJ22" i="18" s="1"/>
  <c r="AO22" i="18"/>
  <c r="BA22" i="18" s="1"/>
  <c r="BK22" i="18" s="1"/>
  <c r="AH22" i="18"/>
  <c r="AT22" i="18" s="1"/>
  <c r="BD22" i="18" s="1"/>
  <c r="I23" i="18"/>
  <c r="AV22" i="18"/>
  <c r="P24" i="17"/>
  <c r="J24" i="17"/>
  <c r="K24" i="17" s="1"/>
  <c r="L24" i="17" s="1"/>
  <c r="AS24" i="17"/>
  <c r="AI24" i="17"/>
  <c r="I24" i="16"/>
  <c r="S24" i="19" l="1"/>
  <c r="X24" i="17"/>
  <c r="O23" i="18"/>
  <c r="J23" i="18"/>
  <c r="K23" i="18" s="1"/>
  <c r="L23" i="18" s="1"/>
  <c r="AL24" i="17"/>
  <c r="B25" i="17" s="1"/>
  <c r="W24" i="17"/>
  <c r="P24" i="16"/>
  <c r="AH24" i="16"/>
  <c r="AB24" i="16"/>
  <c r="V24" i="16"/>
  <c r="J24" i="16"/>
  <c r="K24" i="16" s="1"/>
  <c r="L24" i="16" s="1"/>
  <c r="AI24" i="16"/>
  <c r="AS24" i="16"/>
  <c r="X24" i="16" l="1"/>
  <c r="Y24" i="17"/>
  <c r="S23" i="18"/>
  <c r="Y23" i="18"/>
  <c r="Z24" i="19"/>
  <c r="AT24" i="19" s="1"/>
  <c r="I25" i="17"/>
  <c r="AL24" i="16"/>
  <c r="B25" i="16" s="1"/>
  <c r="AR24" i="16"/>
  <c r="H25" i="16" s="1"/>
  <c r="W24" i="16"/>
  <c r="AB25" i="17" l="1"/>
  <c r="Y24" i="16"/>
  <c r="BA24" i="19"/>
  <c r="AA24" i="19"/>
  <c r="AB24" i="19" s="1"/>
  <c r="AC24" i="19" s="1"/>
  <c r="AD24" i="19"/>
  <c r="BK24" i="19"/>
  <c r="BD24" i="19"/>
  <c r="B25" i="19" s="1"/>
  <c r="AH24" i="19"/>
  <c r="Z23" i="18"/>
  <c r="AZ23" i="18" s="1"/>
  <c r="AS25" i="17"/>
  <c r="J25" i="17"/>
  <c r="AI25" i="17"/>
  <c r="P25" i="17"/>
  <c r="I25" i="16"/>
  <c r="AT24" i="16"/>
  <c r="X25" i="17" l="1"/>
  <c r="AP24" i="19"/>
  <c r="AT23" i="18"/>
  <c r="BD23" i="18"/>
  <c r="B24" i="18" s="1"/>
  <c r="BJ23" i="18"/>
  <c r="H24" i="18" s="1"/>
  <c r="I25" i="19"/>
  <c r="AO24" i="19"/>
  <c r="BL24" i="19"/>
  <c r="AN23" i="18"/>
  <c r="AH23" i="18"/>
  <c r="AD23" i="18"/>
  <c r="BA23" i="18"/>
  <c r="BK23" i="18"/>
  <c r="AA23" i="18"/>
  <c r="AB23" i="18" s="1"/>
  <c r="AC23" i="18" s="1"/>
  <c r="K25" i="17"/>
  <c r="I42" i="17"/>
  <c r="G10" i="8" s="1"/>
  <c r="O10" i="8" s="1"/>
  <c r="W25" i="17"/>
  <c r="AL25" i="17"/>
  <c r="B26" i="17" s="1"/>
  <c r="AH25" i="16"/>
  <c r="AB25" i="16"/>
  <c r="J25" i="16"/>
  <c r="P25" i="16"/>
  <c r="AI25" i="16"/>
  <c r="AS25" i="16"/>
  <c r="V25" i="16"/>
  <c r="AP23" i="18" l="1"/>
  <c r="I24" i="18"/>
  <c r="AQ24" i="19"/>
  <c r="X25" i="16"/>
  <c r="Y25" i="17"/>
  <c r="W25" i="16"/>
  <c r="BL23" i="18"/>
  <c r="AO23" i="18"/>
  <c r="J25" i="19"/>
  <c r="K25" i="19" s="1"/>
  <c r="L25" i="19" s="1"/>
  <c r="J24" i="18"/>
  <c r="K24" i="18" s="1"/>
  <c r="L24" i="18" s="1"/>
  <c r="I26" i="17"/>
  <c r="L25" i="17"/>
  <c r="I43" i="17"/>
  <c r="G11" i="8" s="1"/>
  <c r="O11" i="8" s="1"/>
  <c r="I42" i="16"/>
  <c r="F10" i="8" s="1"/>
  <c r="N10" i="8" s="1"/>
  <c r="K25" i="16"/>
  <c r="AL25" i="16"/>
  <c r="AR25" i="16"/>
  <c r="H26" i="16" s="1"/>
  <c r="P26" i="17" l="1"/>
  <c r="AQ23" i="18"/>
  <c r="Y25" i="16"/>
  <c r="AB26" i="17"/>
  <c r="AI26" i="17"/>
  <c r="AS26" i="17"/>
  <c r="J26" i="17"/>
  <c r="K26" i="17" s="1"/>
  <c r="L26" i="17" s="1"/>
  <c r="B26" i="16"/>
  <c r="AT25" i="16"/>
  <c r="I43" i="16"/>
  <c r="F11" i="8" s="1"/>
  <c r="N11" i="8" s="1"/>
  <c r="L25" i="16"/>
  <c r="X26" i="17" l="1"/>
  <c r="W26" i="17"/>
  <c r="AL26" i="17"/>
  <c r="B27" i="17" s="1"/>
  <c r="I26" i="16"/>
  <c r="Y26" i="17" l="1"/>
  <c r="P26" i="16"/>
  <c r="I27" i="17"/>
  <c r="AB26" i="16"/>
  <c r="AI26" i="16"/>
  <c r="J26" i="16"/>
  <c r="K26" i="16" s="1"/>
  <c r="L26" i="16" s="1"/>
  <c r="AS26" i="16"/>
  <c r="AH26" i="16"/>
  <c r="V26" i="16"/>
  <c r="AB27" i="17" l="1"/>
  <c r="X26" i="16"/>
  <c r="W26" i="16"/>
  <c r="AI27" i="17"/>
  <c r="J27" i="17"/>
  <c r="K27" i="17" s="1"/>
  <c r="L27" i="17" s="1"/>
  <c r="AS27" i="17"/>
  <c r="P27" i="17"/>
  <c r="AR26" i="16"/>
  <c r="H27" i="16" s="1"/>
  <c r="AL26" i="16"/>
  <c r="Y26" i="16" l="1"/>
  <c r="X27" i="17"/>
  <c r="W27" i="17"/>
  <c r="AL27" i="17"/>
  <c r="B28" i="17" s="1"/>
  <c r="B27" i="16"/>
  <c r="AT26" i="16"/>
  <c r="Y27" i="17" l="1"/>
  <c r="I28" i="17"/>
  <c r="I27" i="16"/>
  <c r="AB27" i="16" s="1"/>
  <c r="P27" i="16"/>
  <c r="P28" i="17" l="1"/>
  <c r="AB28" i="17"/>
  <c r="AI28" i="17"/>
  <c r="J28" i="17"/>
  <c r="K28" i="17" s="1"/>
  <c r="L28" i="17" s="1"/>
  <c r="AS28" i="17"/>
  <c r="AH27" i="16"/>
  <c r="AS27" i="16"/>
  <c r="J27" i="16"/>
  <c r="K27" i="16" s="1"/>
  <c r="L27" i="16" s="1"/>
  <c r="AI27" i="16"/>
  <c r="V27" i="16"/>
  <c r="X27" i="16" l="1"/>
  <c r="X28" i="17"/>
  <c r="W28" i="17"/>
  <c r="Y28" i="17" s="1"/>
  <c r="AL28" i="17"/>
  <c r="B29" i="17" s="1"/>
  <c r="W27" i="16"/>
  <c r="AL27" i="16"/>
  <c r="AR27" i="16"/>
  <c r="H28" i="16" s="1"/>
  <c r="Y27" i="16" l="1"/>
  <c r="I29" i="17"/>
  <c r="AB29" i="17" s="1"/>
  <c r="B28" i="16"/>
  <c r="AT27" i="16"/>
  <c r="J29" i="17" l="1"/>
  <c r="K29" i="17" s="1"/>
  <c r="L29" i="17" s="1"/>
  <c r="AI29" i="17"/>
  <c r="AS29" i="17"/>
  <c r="P29" i="17"/>
  <c r="X29" i="17" s="1"/>
  <c r="I28" i="16"/>
  <c r="P28" i="16" s="1"/>
  <c r="W29" i="17" l="1"/>
  <c r="Y29" i="17" s="1"/>
  <c r="AL29" i="17"/>
  <c r="B30" i="17" s="1"/>
  <c r="AB28" i="16"/>
  <c r="AI28" i="16"/>
  <c r="J28" i="16"/>
  <c r="K28" i="16" s="1"/>
  <c r="L28" i="16" s="1"/>
  <c r="AS28" i="16"/>
  <c r="AH28" i="16"/>
  <c r="V28" i="16"/>
  <c r="X28" i="16" l="1"/>
  <c r="W28" i="16"/>
  <c r="Y28" i="16" s="1"/>
  <c r="I30" i="17"/>
  <c r="P30" i="17" s="1"/>
  <c r="AR28" i="16"/>
  <c r="H29" i="16" s="1"/>
  <c r="AL28" i="16"/>
  <c r="AB30" i="17" l="1"/>
  <c r="AS30" i="17"/>
  <c r="J30" i="17"/>
  <c r="K30" i="17" s="1"/>
  <c r="L30" i="17" s="1"/>
  <c r="AI30" i="17"/>
  <c r="B29" i="16"/>
  <c r="AT28" i="16"/>
  <c r="X30" i="17" l="1"/>
  <c r="W30" i="17"/>
  <c r="AL30" i="17"/>
  <c r="B31" i="17" s="1"/>
  <c r="I29" i="16"/>
  <c r="P29" i="16" s="1"/>
  <c r="Y30" i="17" l="1"/>
  <c r="I31" i="17"/>
  <c r="P31" i="17" s="1"/>
  <c r="AB29" i="16"/>
  <c r="AS29" i="16"/>
  <c r="J29" i="16"/>
  <c r="K29" i="16" s="1"/>
  <c r="L29" i="16" s="1"/>
  <c r="AI29" i="16"/>
  <c r="V29" i="16"/>
  <c r="AH29" i="16"/>
  <c r="X29" i="16" l="1"/>
  <c r="W29" i="16"/>
  <c r="Y29" i="16" s="1"/>
  <c r="AB31" i="17"/>
  <c r="AS31" i="17"/>
  <c r="J31" i="17"/>
  <c r="K31" i="17" s="1"/>
  <c r="L31" i="17" s="1"/>
  <c r="AI31" i="17"/>
  <c r="AR29" i="16"/>
  <c r="H30" i="16" s="1"/>
  <c r="AL29" i="16"/>
  <c r="X31" i="17" l="1"/>
  <c r="W31" i="17"/>
  <c r="Y31" i="17" s="1"/>
  <c r="AL31" i="17"/>
  <c r="B32" i="17" s="1"/>
  <c r="B30" i="16"/>
  <c r="AT29" i="16"/>
  <c r="I32" i="17" l="1"/>
  <c r="P32" i="17" s="1"/>
  <c r="I30" i="16"/>
  <c r="P30" i="16" s="1"/>
  <c r="AB32" i="17" l="1"/>
  <c r="J32" i="17"/>
  <c r="K32" i="17" s="1"/>
  <c r="L32" i="17" s="1"/>
  <c r="AS32" i="17"/>
  <c r="AI32" i="17"/>
  <c r="AB30" i="16"/>
  <c r="AS30" i="16"/>
  <c r="J30" i="16"/>
  <c r="K30" i="16" s="1"/>
  <c r="L30" i="16" s="1"/>
  <c r="AI30" i="16"/>
  <c r="V30" i="16"/>
  <c r="AH30" i="16"/>
  <c r="X32" i="17" l="1"/>
  <c r="X30" i="16"/>
  <c r="W30" i="16"/>
  <c r="Y30" i="16" s="1"/>
  <c r="W32" i="17"/>
  <c r="Y32" i="17" s="1"/>
  <c r="AL32" i="17"/>
  <c r="B33" i="17" s="1"/>
  <c r="AL30" i="16"/>
  <c r="AR30" i="16"/>
  <c r="H31" i="16" s="1"/>
  <c r="I33" i="17" l="1"/>
  <c r="AB33" i="17" s="1"/>
  <c r="B31" i="16"/>
  <c r="AT30" i="16"/>
  <c r="AS33" i="17" l="1"/>
  <c r="J33" i="17"/>
  <c r="K33" i="17" s="1"/>
  <c r="L33" i="17" s="1"/>
  <c r="AI33" i="17"/>
  <c r="P33" i="17"/>
  <c r="I31" i="16"/>
  <c r="P31" i="16" s="1"/>
  <c r="X33" i="17" l="1"/>
  <c r="AB31" i="16"/>
  <c r="W33" i="17"/>
  <c r="AL33" i="17"/>
  <c r="B34" i="17" s="1"/>
  <c r="AH31" i="16"/>
  <c r="AI31" i="16"/>
  <c r="AS31" i="16"/>
  <c r="J31" i="16"/>
  <c r="K31" i="16" s="1"/>
  <c r="L31" i="16" s="1"/>
  <c r="V31" i="16"/>
  <c r="X31" i="16" l="1"/>
  <c r="Y33" i="17"/>
  <c r="I34" i="17"/>
  <c r="P34" i="17" s="1"/>
  <c r="W31" i="16"/>
  <c r="Y31" i="16" s="1"/>
  <c r="AR31" i="16"/>
  <c r="H32" i="16" s="1"/>
  <c r="AL31" i="16"/>
  <c r="AB34" i="17" l="1"/>
  <c r="AI34" i="17"/>
  <c r="J34" i="17"/>
  <c r="K34" i="17" s="1"/>
  <c r="L34" i="17" s="1"/>
  <c r="AS34" i="17"/>
  <c r="AL34" i="17" s="1"/>
  <c r="B35" i="17" s="1"/>
  <c r="B32" i="16"/>
  <c r="AT31" i="16"/>
  <c r="X34" i="17" l="1"/>
  <c r="W34" i="17"/>
  <c r="Y34" i="17" s="1"/>
  <c r="I35" i="17"/>
  <c r="AB35" i="17" s="1"/>
  <c r="I32" i="16"/>
  <c r="AB32" i="16" s="1"/>
  <c r="AS35" i="17" l="1"/>
  <c r="AL35" i="17" s="1"/>
  <c r="J35" i="17"/>
  <c r="K35" i="17" s="1"/>
  <c r="L35" i="17" s="1"/>
  <c r="AI35" i="17"/>
  <c r="P35" i="17"/>
  <c r="P32" i="16"/>
  <c r="AS32" i="16"/>
  <c r="AI32" i="16"/>
  <c r="J32" i="16"/>
  <c r="K32" i="16" s="1"/>
  <c r="L32" i="16" s="1"/>
  <c r="V32" i="16"/>
  <c r="AH32" i="16"/>
  <c r="X32" i="16" l="1"/>
  <c r="X35" i="17"/>
  <c r="P38" i="17"/>
  <c r="G13" i="8"/>
  <c r="O13" i="8" s="1"/>
  <c r="W35" i="17"/>
  <c r="W38" i="17" s="1"/>
  <c r="W32" i="16"/>
  <c r="AR32" i="16"/>
  <c r="H33" i="16" s="1"/>
  <c r="AL32" i="16"/>
  <c r="Y35" i="17" l="1"/>
  <c r="X38" i="17"/>
  <c r="Y32" i="16"/>
  <c r="B33" i="16"/>
  <c r="AT32" i="16"/>
  <c r="B38" i="17" l="1"/>
  <c r="I38" i="17" s="1"/>
  <c r="I40" i="17"/>
  <c r="G8" i="8" s="1"/>
  <c r="O8" i="8" s="1"/>
  <c r="I46" i="17"/>
  <c r="I47" i="17"/>
  <c r="G12" i="8"/>
  <c r="I33" i="16"/>
  <c r="X40" i="17" l="1"/>
  <c r="G6" i="8"/>
  <c r="O6" i="8" s="1"/>
  <c r="I45" i="17"/>
  <c r="I44" i="17"/>
  <c r="I39" i="17"/>
  <c r="O12" i="8"/>
  <c r="P33" i="16"/>
  <c r="AI33" i="16"/>
  <c r="AS33" i="16"/>
  <c r="J33" i="16"/>
  <c r="K33" i="16" s="1"/>
  <c r="L33" i="16" s="1"/>
  <c r="AH33" i="16"/>
  <c r="V33" i="16"/>
  <c r="AB33" i="16"/>
  <c r="I41" i="17" l="1"/>
  <c r="G9" i="8" s="1"/>
  <c r="O9" i="8" s="1"/>
  <c r="G7" i="8"/>
  <c r="O7" i="8" s="1"/>
  <c r="X33" i="16"/>
  <c r="W33" i="16"/>
  <c r="AR33" i="16"/>
  <c r="H34" i="16" s="1"/>
  <c r="AL33" i="16"/>
  <c r="B34" i="16" s="1"/>
  <c r="Y33" i="16" l="1"/>
  <c r="I34" i="16"/>
  <c r="V34" i="16" s="1"/>
  <c r="AT33" i="16"/>
  <c r="AB34" i="16" l="1"/>
  <c r="P34" i="16"/>
  <c r="AH34" i="16"/>
  <c r="J34" i="16"/>
  <c r="K34" i="16" s="1"/>
  <c r="L34" i="16" s="1"/>
  <c r="AS34" i="16"/>
  <c r="AI34" i="16"/>
  <c r="X34" i="16" l="1"/>
  <c r="W34" i="16"/>
  <c r="Y34" i="16" s="1"/>
  <c r="AL34" i="16"/>
  <c r="B35" i="16" s="1"/>
  <c r="AR34" i="16"/>
  <c r="H35" i="16" s="1"/>
  <c r="AT34" i="16" l="1"/>
  <c r="I35" i="16"/>
  <c r="V35" i="16" s="1"/>
  <c r="AB35" i="16"/>
  <c r="P35" i="16"/>
  <c r="AH35" i="16" l="1"/>
  <c r="J35" i="16"/>
  <c r="K35" i="16" s="1"/>
  <c r="L35" i="16" s="1"/>
  <c r="AS35" i="16"/>
  <c r="AI35" i="16"/>
  <c r="X35" i="16" l="1"/>
  <c r="W35" i="16"/>
  <c r="AL35" i="16"/>
  <c r="AR35" i="16"/>
  <c r="O14" i="13"/>
  <c r="O14" i="15" s="1"/>
  <c r="N14" i="13"/>
  <c r="N14" i="15" s="1"/>
  <c r="O13" i="13"/>
  <c r="N13" i="13"/>
  <c r="O12" i="13"/>
  <c r="N12" i="13"/>
  <c r="N12" i="15" s="1"/>
  <c r="O11" i="13"/>
  <c r="O11" i="14" s="1"/>
  <c r="N11" i="13"/>
  <c r="O10" i="13"/>
  <c r="O10" i="15" s="1"/>
  <c r="N10" i="13"/>
  <c r="N10" i="14" s="1"/>
  <c r="O9" i="13"/>
  <c r="O9" i="14" s="1"/>
  <c r="N9" i="13"/>
  <c r="O8" i="13"/>
  <c r="N8" i="13"/>
  <c r="O7" i="13"/>
  <c r="O7" i="14" s="1"/>
  <c r="N7" i="13"/>
  <c r="O6" i="13"/>
  <c r="O6" i="15" s="1"/>
  <c r="N6" i="13"/>
  <c r="N6" i="14" s="1"/>
  <c r="O5" i="13"/>
  <c r="O5" i="14" s="1"/>
  <c r="N5" i="13"/>
  <c r="O4" i="13"/>
  <c r="N4" i="13"/>
  <c r="N4" i="14" s="1"/>
  <c r="AS23" i="15"/>
  <c r="W23" i="15"/>
  <c r="T23" i="15"/>
  <c r="R23" i="15"/>
  <c r="H23" i="15"/>
  <c r="G23" i="15"/>
  <c r="X23" i="15" s="1"/>
  <c r="E23" i="15"/>
  <c r="D23" i="15"/>
  <c r="B23" i="15"/>
  <c r="BA22" i="15"/>
  <c r="Z22" i="15"/>
  <c r="R22" i="15"/>
  <c r="H14" i="15"/>
  <c r="G14" i="15"/>
  <c r="E14" i="15"/>
  <c r="D14" i="15"/>
  <c r="B14" i="15"/>
  <c r="A14" i="15"/>
  <c r="A34" i="15" s="1"/>
  <c r="H13" i="15"/>
  <c r="G13" i="15"/>
  <c r="E13" i="15"/>
  <c r="D13" i="15"/>
  <c r="B13" i="15"/>
  <c r="A13" i="15"/>
  <c r="A33" i="15" s="1"/>
  <c r="H12" i="15"/>
  <c r="G12" i="15"/>
  <c r="E12" i="15"/>
  <c r="D12" i="15"/>
  <c r="B12" i="15"/>
  <c r="A12" i="15"/>
  <c r="A32" i="15" s="1"/>
  <c r="N32" i="15" s="1"/>
  <c r="H11" i="15"/>
  <c r="G11" i="15"/>
  <c r="E11" i="15"/>
  <c r="D11" i="15"/>
  <c r="B11" i="15"/>
  <c r="A11" i="15"/>
  <c r="A31" i="15" s="1"/>
  <c r="H10" i="15"/>
  <c r="G10" i="15"/>
  <c r="E10" i="15"/>
  <c r="D10" i="15"/>
  <c r="B10" i="15"/>
  <c r="A10" i="15"/>
  <c r="A30" i="15" s="1"/>
  <c r="H9" i="15"/>
  <c r="G9" i="15"/>
  <c r="E9" i="15"/>
  <c r="D9" i="15"/>
  <c r="B9" i="15"/>
  <c r="A9" i="15"/>
  <c r="A29" i="15" s="1"/>
  <c r="H8" i="15"/>
  <c r="G8" i="15"/>
  <c r="E8" i="15"/>
  <c r="D8" i="15"/>
  <c r="B8" i="15"/>
  <c r="A8" i="15"/>
  <c r="A28" i="15" s="1"/>
  <c r="H7" i="15"/>
  <c r="G7" i="15"/>
  <c r="E7" i="15"/>
  <c r="D7" i="15"/>
  <c r="B7" i="15"/>
  <c r="A7" i="15"/>
  <c r="A27" i="15" s="1"/>
  <c r="H6" i="15"/>
  <c r="G6" i="15"/>
  <c r="G26" i="15" s="1"/>
  <c r="E6" i="15"/>
  <c r="E26" i="15" s="1"/>
  <c r="D6" i="15"/>
  <c r="D26" i="15" s="1"/>
  <c r="B6" i="15"/>
  <c r="B26" i="15" s="1"/>
  <c r="A6" i="15"/>
  <c r="A26" i="15" s="1"/>
  <c r="H5" i="15"/>
  <c r="G5" i="15"/>
  <c r="E5" i="15"/>
  <c r="D5" i="15"/>
  <c r="B5" i="15"/>
  <c r="A5" i="15"/>
  <c r="A25" i="15" s="1"/>
  <c r="H4" i="15"/>
  <c r="G4" i="15"/>
  <c r="E4" i="15"/>
  <c r="D4" i="15"/>
  <c r="B4" i="15"/>
  <c r="A4" i="15"/>
  <c r="A24" i="15" s="1"/>
  <c r="H3" i="15"/>
  <c r="H22" i="15" s="1"/>
  <c r="G3" i="15"/>
  <c r="G22" i="15" s="1"/>
  <c r="F3" i="15"/>
  <c r="F22" i="15" s="1"/>
  <c r="E3" i="15"/>
  <c r="E22" i="15" s="1"/>
  <c r="D3" i="15"/>
  <c r="D22" i="15" s="1"/>
  <c r="C3" i="15"/>
  <c r="C22" i="15" s="1"/>
  <c r="B3" i="15"/>
  <c r="B22" i="15" s="1"/>
  <c r="AH22" i="15" s="1"/>
  <c r="AT22" i="15" s="1"/>
  <c r="A3" i="15"/>
  <c r="H2" i="15"/>
  <c r="H21" i="15" s="1"/>
  <c r="Y21" i="15" s="1"/>
  <c r="G2" i="15"/>
  <c r="G21" i="15" s="1"/>
  <c r="F2" i="15"/>
  <c r="F21" i="15" s="1"/>
  <c r="AL21" i="15" s="1"/>
  <c r="AX21" i="15" s="1"/>
  <c r="E2" i="15"/>
  <c r="E21" i="15" s="1"/>
  <c r="D2" i="15"/>
  <c r="D21" i="15" s="1"/>
  <c r="U21" i="15" s="1"/>
  <c r="C2" i="15"/>
  <c r="C21" i="15" s="1"/>
  <c r="B2" i="15"/>
  <c r="B21" i="15" s="1"/>
  <c r="AU23" i="14"/>
  <c r="AS23" i="14"/>
  <c r="BC23" i="14" s="1"/>
  <c r="W23" i="14"/>
  <c r="T23" i="14"/>
  <c r="R23" i="14"/>
  <c r="H23" i="14"/>
  <c r="Y23" i="14" s="1"/>
  <c r="G23" i="14"/>
  <c r="E23" i="14"/>
  <c r="V23" i="14" s="1"/>
  <c r="D23" i="14"/>
  <c r="U23" i="14" s="1"/>
  <c r="B23" i="14"/>
  <c r="S23" i="14" s="1"/>
  <c r="BA22" i="14"/>
  <c r="BK22" i="14" s="1"/>
  <c r="AS22" i="14"/>
  <c r="Z22" i="14"/>
  <c r="R22" i="14"/>
  <c r="H14" i="14"/>
  <c r="G14" i="14"/>
  <c r="E14" i="14"/>
  <c r="D14" i="14"/>
  <c r="B14" i="14"/>
  <c r="A14" i="14"/>
  <c r="A34" i="14" s="1"/>
  <c r="H13" i="14"/>
  <c r="G13" i="14"/>
  <c r="E13" i="14"/>
  <c r="D13" i="14"/>
  <c r="B13" i="14"/>
  <c r="A13" i="14"/>
  <c r="A33" i="14" s="1"/>
  <c r="H12" i="14"/>
  <c r="G12" i="14"/>
  <c r="E12" i="14"/>
  <c r="D12" i="14"/>
  <c r="B12" i="14"/>
  <c r="A12" i="14"/>
  <c r="A32" i="14" s="1"/>
  <c r="H11" i="14"/>
  <c r="G11" i="14"/>
  <c r="E11" i="14"/>
  <c r="D11" i="14"/>
  <c r="B11" i="14"/>
  <c r="A11" i="14"/>
  <c r="A31" i="14" s="1"/>
  <c r="AG31" i="14" s="1"/>
  <c r="AS31" i="14" s="1"/>
  <c r="BC31" i="14" s="1"/>
  <c r="H10" i="14"/>
  <c r="G10" i="14"/>
  <c r="E10" i="14"/>
  <c r="D10" i="14"/>
  <c r="B10" i="14"/>
  <c r="A10" i="14"/>
  <c r="A30" i="14" s="1"/>
  <c r="H9" i="14"/>
  <c r="G9" i="14"/>
  <c r="E9" i="14"/>
  <c r="D9" i="14"/>
  <c r="B9" i="14"/>
  <c r="A9" i="14"/>
  <c r="A29" i="14" s="1"/>
  <c r="R29" i="14" s="1"/>
  <c r="H8" i="14"/>
  <c r="G8" i="14"/>
  <c r="E8" i="14"/>
  <c r="D8" i="14"/>
  <c r="B8" i="14"/>
  <c r="A8" i="14"/>
  <c r="A28" i="14" s="1"/>
  <c r="H7" i="14"/>
  <c r="G7" i="14"/>
  <c r="E7" i="14"/>
  <c r="D7" i="14"/>
  <c r="B7" i="14"/>
  <c r="A7" i="14"/>
  <c r="A27" i="14" s="1"/>
  <c r="H6" i="14"/>
  <c r="G6" i="14"/>
  <c r="E6" i="14"/>
  <c r="D6" i="14"/>
  <c r="B6" i="14"/>
  <c r="A6" i="14"/>
  <c r="A26" i="14" s="1"/>
  <c r="N26" i="14" s="1"/>
  <c r="H5" i="14"/>
  <c r="G5" i="14"/>
  <c r="E5" i="14"/>
  <c r="D5" i="14"/>
  <c r="B5" i="14"/>
  <c r="A5" i="14"/>
  <c r="A25" i="14" s="1"/>
  <c r="H4" i="14"/>
  <c r="G4" i="14"/>
  <c r="E4" i="14"/>
  <c r="D4" i="14"/>
  <c r="B4" i="14"/>
  <c r="A4" i="14"/>
  <c r="A24" i="14" s="1"/>
  <c r="N24" i="14" s="1"/>
  <c r="H3" i="14"/>
  <c r="H22" i="14" s="1"/>
  <c r="G3" i="14"/>
  <c r="G22" i="14" s="1"/>
  <c r="X22" i="14" s="1"/>
  <c r="F3" i="14"/>
  <c r="F22" i="14" s="1"/>
  <c r="W22" i="14" s="1"/>
  <c r="E3" i="14"/>
  <c r="E22" i="14" s="1"/>
  <c r="AK22" i="14" s="1"/>
  <c r="AW22" i="14" s="1"/>
  <c r="BG22" i="14" s="1"/>
  <c r="D3" i="14"/>
  <c r="D22" i="14" s="1"/>
  <c r="U22" i="14" s="1"/>
  <c r="C3" i="14"/>
  <c r="C22" i="14" s="1"/>
  <c r="B3" i="14"/>
  <c r="B22" i="14" s="1"/>
  <c r="AH22" i="14" s="1"/>
  <c r="AT22" i="14" s="1"/>
  <c r="BD22" i="14" s="1"/>
  <c r="A3" i="14"/>
  <c r="H2" i="14"/>
  <c r="H21" i="14" s="1"/>
  <c r="G2" i="14"/>
  <c r="G21" i="14" s="1"/>
  <c r="X21" i="14" s="1"/>
  <c r="F2" i="14"/>
  <c r="F21" i="14" s="1"/>
  <c r="W21" i="14" s="1"/>
  <c r="E2" i="14"/>
  <c r="E21" i="14" s="1"/>
  <c r="D2" i="14"/>
  <c r="D21" i="14" s="1"/>
  <c r="C2" i="14"/>
  <c r="C21" i="14" s="1"/>
  <c r="T21" i="14" s="1"/>
  <c r="B2" i="14"/>
  <c r="B21" i="14" s="1"/>
  <c r="AH21" i="14" s="1"/>
  <c r="AT21" i="14" s="1"/>
  <c r="BD21" i="14" s="1"/>
  <c r="R23" i="13"/>
  <c r="H23" i="13"/>
  <c r="Y23" i="13" s="1"/>
  <c r="G23" i="13"/>
  <c r="X23" i="13" s="1"/>
  <c r="E23" i="13"/>
  <c r="V23" i="13" s="1"/>
  <c r="D23" i="13"/>
  <c r="U23" i="13" s="1"/>
  <c r="B23" i="13"/>
  <c r="Z22" i="13"/>
  <c r="R22" i="13"/>
  <c r="H14" i="13"/>
  <c r="G14" i="13"/>
  <c r="F14" i="13"/>
  <c r="E14" i="13"/>
  <c r="D14" i="13"/>
  <c r="C14" i="13"/>
  <c r="B14" i="13"/>
  <c r="A14" i="13"/>
  <c r="A34" i="13" s="1"/>
  <c r="AG34" i="13" s="1"/>
  <c r="H13" i="13"/>
  <c r="G13" i="13"/>
  <c r="F13" i="13"/>
  <c r="E13" i="13"/>
  <c r="D13" i="13"/>
  <c r="C13" i="13"/>
  <c r="B13" i="13"/>
  <c r="A13" i="13"/>
  <c r="A33" i="13" s="1"/>
  <c r="H12" i="13"/>
  <c r="G12" i="13"/>
  <c r="F12" i="13"/>
  <c r="E12" i="13"/>
  <c r="D12" i="13"/>
  <c r="C12" i="13"/>
  <c r="B12" i="13"/>
  <c r="A12" i="13"/>
  <c r="A32" i="13" s="1"/>
  <c r="AG32" i="13" s="1"/>
  <c r="H11" i="13"/>
  <c r="G11" i="13"/>
  <c r="F11" i="13"/>
  <c r="E11" i="13"/>
  <c r="D11" i="13"/>
  <c r="C11" i="13"/>
  <c r="B11" i="13"/>
  <c r="A11" i="13"/>
  <c r="A31" i="13" s="1"/>
  <c r="R31" i="13" s="1"/>
  <c r="H10" i="13"/>
  <c r="G10" i="13"/>
  <c r="F10" i="13"/>
  <c r="E10" i="13"/>
  <c r="D10" i="13"/>
  <c r="C10" i="13"/>
  <c r="B10" i="13"/>
  <c r="A10" i="13"/>
  <c r="A30" i="13" s="1"/>
  <c r="AG30" i="13" s="1"/>
  <c r="H9" i="13"/>
  <c r="G9" i="13"/>
  <c r="F9" i="13"/>
  <c r="E9" i="13"/>
  <c r="D9" i="13"/>
  <c r="C9" i="13"/>
  <c r="B9" i="13"/>
  <c r="A9" i="13"/>
  <c r="A29" i="13" s="1"/>
  <c r="R29" i="13" s="1"/>
  <c r="H8" i="13"/>
  <c r="G8" i="13"/>
  <c r="F8" i="13"/>
  <c r="E8" i="13"/>
  <c r="D8" i="13"/>
  <c r="C8" i="13"/>
  <c r="B8" i="13"/>
  <c r="A8" i="13"/>
  <c r="A28" i="13" s="1"/>
  <c r="H7" i="13"/>
  <c r="G7" i="13"/>
  <c r="F7" i="13"/>
  <c r="E7" i="13"/>
  <c r="D7" i="13"/>
  <c r="C7" i="13"/>
  <c r="B7" i="13"/>
  <c r="A7" i="13"/>
  <c r="A27" i="13" s="1"/>
  <c r="R27" i="13" s="1"/>
  <c r="H6" i="13"/>
  <c r="G6" i="13"/>
  <c r="F6" i="13"/>
  <c r="E6" i="13"/>
  <c r="D6" i="13"/>
  <c r="C6" i="13"/>
  <c r="B6" i="13"/>
  <c r="A6" i="13"/>
  <c r="A26" i="13" s="1"/>
  <c r="R26" i="13" s="1"/>
  <c r="H5" i="13"/>
  <c r="G5" i="13"/>
  <c r="F5" i="13"/>
  <c r="E5" i="13"/>
  <c r="D5" i="13"/>
  <c r="C5" i="13"/>
  <c r="B5" i="13"/>
  <c r="A5" i="13"/>
  <c r="A25" i="13" s="1"/>
  <c r="H4" i="13"/>
  <c r="G4" i="13"/>
  <c r="F4" i="13"/>
  <c r="E4" i="13"/>
  <c r="D4" i="13"/>
  <c r="C4" i="13"/>
  <c r="B4" i="13"/>
  <c r="A4" i="13"/>
  <c r="A24" i="13" s="1"/>
  <c r="H3" i="13"/>
  <c r="H22" i="13" s="1"/>
  <c r="G3" i="13"/>
  <c r="G22" i="13" s="1"/>
  <c r="X22" i="13" s="1"/>
  <c r="F3" i="13"/>
  <c r="F22" i="13" s="1"/>
  <c r="W22" i="13" s="1"/>
  <c r="E3" i="13"/>
  <c r="E22" i="13" s="1"/>
  <c r="D3" i="13"/>
  <c r="D22" i="13" s="1"/>
  <c r="C3" i="13"/>
  <c r="C22" i="13" s="1"/>
  <c r="AI22" i="13" s="1"/>
  <c r="B3" i="13"/>
  <c r="B22" i="13" s="1"/>
  <c r="A3" i="13"/>
  <c r="H2" i="13"/>
  <c r="H21" i="13" s="1"/>
  <c r="G2" i="13"/>
  <c r="G21" i="13" s="1"/>
  <c r="F2" i="13"/>
  <c r="F21" i="13" s="1"/>
  <c r="W21" i="13" s="1"/>
  <c r="E2" i="13"/>
  <c r="E21" i="13" s="1"/>
  <c r="V21" i="13" s="1"/>
  <c r="D2" i="13"/>
  <c r="D21" i="13" s="1"/>
  <c r="C2" i="13"/>
  <c r="C21" i="13" s="1"/>
  <c r="T21" i="13" s="1"/>
  <c r="B2" i="13"/>
  <c r="B21" i="13" s="1"/>
  <c r="AH21" i="13" s="1"/>
  <c r="A13" i="12"/>
  <c r="A33" i="12" s="1"/>
  <c r="B13" i="12"/>
  <c r="D13" i="12"/>
  <c r="E13" i="12"/>
  <c r="G13" i="12"/>
  <c r="H13" i="12"/>
  <c r="N13" i="12"/>
  <c r="O13" i="12"/>
  <c r="A14" i="12"/>
  <c r="A34" i="12" s="1"/>
  <c r="B14" i="12"/>
  <c r="D14" i="12"/>
  <c r="E14" i="12"/>
  <c r="G14" i="12"/>
  <c r="H14" i="12"/>
  <c r="N14" i="12"/>
  <c r="O14" i="12"/>
  <c r="A13" i="10"/>
  <c r="A33" i="10" s="1"/>
  <c r="B13" i="10"/>
  <c r="D13" i="10"/>
  <c r="E13" i="10"/>
  <c r="G13" i="10"/>
  <c r="H13" i="10"/>
  <c r="N13" i="10"/>
  <c r="O13" i="10"/>
  <c r="A14" i="10"/>
  <c r="A34" i="10" s="1"/>
  <c r="B14" i="10"/>
  <c r="D14" i="10"/>
  <c r="E14" i="10"/>
  <c r="G14" i="10"/>
  <c r="H14" i="10"/>
  <c r="N14" i="10"/>
  <c r="O14" i="10"/>
  <c r="A13" i="9"/>
  <c r="A32" i="9" s="1"/>
  <c r="N32" i="9" s="1"/>
  <c r="B13" i="9"/>
  <c r="C13" i="9"/>
  <c r="D13" i="9"/>
  <c r="E13" i="9"/>
  <c r="F13" i="9"/>
  <c r="G13" i="9"/>
  <c r="H13" i="9"/>
  <c r="A14" i="9"/>
  <c r="A33" i="9" s="1"/>
  <c r="B14" i="9"/>
  <c r="C14" i="9"/>
  <c r="D14" i="9"/>
  <c r="E14" i="9"/>
  <c r="F14" i="9"/>
  <c r="G14" i="9"/>
  <c r="H14" i="9"/>
  <c r="A13" i="7"/>
  <c r="A33" i="7" s="1"/>
  <c r="O33" i="7" s="1"/>
  <c r="AA33" i="7" s="1"/>
  <c r="B13" i="7"/>
  <c r="C13" i="7"/>
  <c r="D13" i="7"/>
  <c r="E13" i="7"/>
  <c r="F13" i="7"/>
  <c r="G13" i="7"/>
  <c r="H13" i="7"/>
  <c r="A14" i="7"/>
  <c r="A34" i="7" s="1"/>
  <c r="O34" i="7" s="1"/>
  <c r="AA34" i="7" s="1"/>
  <c r="B14" i="7"/>
  <c r="C14" i="7"/>
  <c r="D14" i="7"/>
  <c r="E14" i="7"/>
  <c r="F14" i="7"/>
  <c r="G14" i="7"/>
  <c r="H14" i="7"/>
  <c r="A13" i="4"/>
  <c r="A33" i="4" s="1"/>
  <c r="B13" i="4"/>
  <c r="C13" i="4"/>
  <c r="D13" i="4"/>
  <c r="E13" i="4"/>
  <c r="F13" i="4"/>
  <c r="G13" i="4"/>
  <c r="H13" i="4"/>
  <c r="A14" i="4"/>
  <c r="A34" i="4" s="1"/>
  <c r="B14" i="4"/>
  <c r="C14" i="4"/>
  <c r="D14" i="4"/>
  <c r="E14" i="4"/>
  <c r="F14" i="4"/>
  <c r="G14" i="4"/>
  <c r="H14" i="4"/>
  <c r="A33" i="1"/>
  <c r="O33" i="1" s="1"/>
  <c r="J13" i="1"/>
  <c r="K13" i="1"/>
  <c r="M13" i="1"/>
  <c r="N13" i="1"/>
  <c r="P13" i="1"/>
  <c r="Q13" i="1"/>
  <c r="J14" i="1"/>
  <c r="K14" i="1"/>
  <c r="M14" i="1"/>
  <c r="N14" i="1"/>
  <c r="P14" i="1"/>
  <c r="Q14" i="1"/>
  <c r="AG34" i="10" l="1"/>
  <c r="AQ34" i="10" s="1"/>
  <c r="BA34" i="10" s="1"/>
  <c r="N34" i="10"/>
  <c r="R34" i="10"/>
  <c r="R34" i="12"/>
  <c r="AG34" i="12"/>
  <c r="AQ34" i="12" s="1"/>
  <c r="N34" i="12"/>
  <c r="Y35" i="16"/>
  <c r="N33" i="9"/>
  <c r="R33" i="9"/>
  <c r="AG33" i="9"/>
  <c r="R34" i="15"/>
  <c r="AG34" i="15"/>
  <c r="AS34" i="15" s="1"/>
  <c r="N34" i="15"/>
  <c r="N34" i="14"/>
  <c r="R34" i="14"/>
  <c r="AG34" i="14"/>
  <c r="AS34" i="14" s="1"/>
  <c r="BC34" i="14" s="1"/>
  <c r="AT35" i="16"/>
  <c r="AK34" i="4"/>
  <c r="O34" i="4"/>
  <c r="AA34" i="4" s="1"/>
  <c r="D24" i="15"/>
  <c r="O10" i="14"/>
  <c r="O6" i="14"/>
  <c r="N10" i="15"/>
  <c r="H24" i="13"/>
  <c r="AG32" i="9"/>
  <c r="R32" i="9"/>
  <c r="N14" i="14"/>
  <c r="N6" i="15"/>
  <c r="O14" i="14"/>
  <c r="N8" i="19"/>
  <c r="N8" i="18"/>
  <c r="N31" i="14"/>
  <c r="N5" i="14"/>
  <c r="N5" i="19"/>
  <c r="N5" i="18"/>
  <c r="O9" i="15"/>
  <c r="O9" i="18"/>
  <c r="O9" i="19"/>
  <c r="AM22" i="13"/>
  <c r="N6" i="19"/>
  <c r="N6" i="18"/>
  <c r="N10" i="19"/>
  <c r="N10" i="18"/>
  <c r="N14" i="19"/>
  <c r="N14" i="18"/>
  <c r="N4" i="19"/>
  <c r="N4" i="18"/>
  <c r="O4" i="15"/>
  <c r="O4" i="18"/>
  <c r="O4" i="19"/>
  <c r="N8" i="15"/>
  <c r="N9" i="14"/>
  <c r="N9" i="19"/>
  <c r="N9" i="18"/>
  <c r="O13" i="15"/>
  <c r="O13" i="18"/>
  <c r="O13" i="19"/>
  <c r="I23" i="13"/>
  <c r="Z23" i="13" s="1"/>
  <c r="AN23" i="13" s="1"/>
  <c r="AG26" i="13"/>
  <c r="O13" i="14"/>
  <c r="O6" i="18"/>
  <c r="O6" i="19"/>
  <c r="O10" i="18"/>
  <c r="O10" i="19"/>
  <c r="O14" i="18"/>
  <c r="O14" i="19"/>
  <c r="N12" i="19"/>
  <c r="N12" i="18"/>
  <c r="O8" i="15"/>
  <c r="O8" i="18"/>
  <c r="O8" i="19"/>
  <c r="N13" i="14"/>
  <c r="N13" i="19"/>
  <c r="N13" i="18"/>
  <c r="N12" i="14"/>
  <c r="N7" i="14"/>
  <c r="N7" i="19"/>
  <c r="N7" i="18"/>
  <c r="N11" i="14"/>
  <c r="N11" i="19"/>
  <c r="N11" i="18"/>
  <c r="N8" i="14"/>
  <c r="O12" i="15"/>
  <c r="O12" i="18"/>
  <c r="O12" i="19"/>
  <c r="O5" i="15"/>
  <c r="O5" i="18"/>
  <c r="O24" i="18" s="1"/>
  <c r="O5" i="19"/>
  <c r="O25" i="19" s="1"/>
  <c r="N4" i="15"/>
  <c r="B24" i="15"/>
  <c r="O7" i="15"/>
  <c r="O7" i="18"/>
  <c r="O7" i="19"/>
  <c r="O11" i="15"/>
  <c r="O11" i="18"/>
  <c r="O11" i="19"/>
  <c r="AK33" i="4"/>
  <c r="O33" i="4"/>
  <c r="AA33" i="4" s="1"/>
  <c r="N33" i="12"/>
  <c r="R33" i="12"/>
  <c r="S21" i="14"/>
  <c r="H24" i="15"/>
  <c r="S22" i="14"/>
  <c r="R24" i="13"/>
  <c r="N24" i="13"/>
  <c r="R28" i="13"/>
  <c r="AG28" i="13"/>
  <c r="N28" i="13"/>
  <c r="AH22" i="13"/>
  <c r="S22" i="13"/>
  <c r="AJ21" i="13"/>
  <c r="U21" i="13"/>
  <c r="U22" i="13"/>
  <c r="AJ22" i="13"/>
  <c r="W22" i="15"/>
  <c r="AL22" i="15"/>
  <c r="AX22" i="15" s="1"/>
  <c r="AM21" i="15"/>
  <c r="AY21" i="15" s="1"/>
  <c r="X21" i="15"/>
  <c r="AG33" i="10"/>
  <c r="AQ33" i="10" s="1"/>
  <c r="BA33" i="10" s="1"/>
  <c r="N33" i="10"/>
  <c r="R33" i="10"/>
  <c r="N33" i="13"/>
  <c r="AG33" i="13"/>
  <c r="R33" i="13"/>
  <c r="AJ21" i="14"/>
  <c r="AV21" i="14" s="1"/>
  <c r="BF21" i="14" s="1"/>
  <c r="U21" i="14"/>
  <c r="AG25" i="13"/>
  <c r="R25" i="13"/>
  <c r="N25" i="13"/>
  <c r="AG33" i="12"/>
  <c r="AQ33" i="12" s="1"/>
  <c r="E24" i="14"/>
  <c r="AL22" i="13"/>
  <c r="E24" i="15"/>
  <c r="AJ23" i="13"/>
  <c r="S22" i="15"/>
  <c r="Y23" i="15"/>
  <c r="AN21" i="15"/>
  <c r="AZ21" i="15" s="1"/>
  <c r="I23" i="15"/>
  <c r="Z23" i="15" s="1"/>
  <c r="AM23" i="15" s="1"/>
  <c r="AY23" i="15" s="1"/>
  <c r="T22" i="13"/>
  <c r="D24" i="13"/>
  <c r="N26" i="13"/>
  <c r="G24" i="14"/>
  <c r="S21" i="13"/>
  <c r="N30" i="13"/>
  <c r="G24" i="15"/>
  <c r="S23" i="15"/>
  <c r="D24" i="14"/>
  <c r="R31" i="14"/>
  <c r="V23" i="15"/>
  <c r="O4" i="14"/>
  <c r="O8" i="14"/>
  <c r="O12" i="14"/>
  <c r="N5" i="15"/>
  <c r="N7" i="15"/>
  <c r="N9" i="15"/>
  <c r="N11" i="15"/>
  <c r="N13" i="15"/>
  <c r="Y21" i="13"/>
  <c r="AN21" i="13"/>
  <c r="AN21" i="14"/>
  <c r="AZ21" i="14" s="1"/>
  <c r="BJ21" i="14" s="1"/>
  <c r="Y21" i="14"/>
  <c r="AK22" i="13"/>
  <c r="V22" i="13"/>
  <c r="N25" i="14"/>
  <c r="AG25" i="14"/>
  <c r="AS25" i="14" s="1"/>
  <c r="BC25" i="14" s="1"/>
  <c r="AK21" i="14"/>
  <c r="AW21" i="14" s="1"/>
  <c r="BG21" i="14" s="1"/>
  <c r="V21" i="14"/>
  <c r="R25" i="14"/>
  <c r="N25" i="15"/>
  <c r="AG25" i="15"/>
  <c r="AS25" i="15" s="1"/>
  <c r="R25" i="15"/>
  <c r="R27" i="15"/>
  <c r="AG27" i="15"/>
  <c r="AS27" i="15" s="1"/>
  <c r="N27" i="15"/>
  <c r="N29" i="15"/>
  <c r="R29" i="15"/>
  <c r="AG29" i="15"/>
  <c r="AS29" i="15" s="1"/>
  <c r="N31" i="15"/>
  <c r="AG31" i="15"/>
  <c r="AS31" i="15" s="1"/>
  <c r="R31" i="15"/>
  <c r="N33" i="15"/>
  <c r="AG33" i="15"/>
  <c r="AS33" i="15" s="1"/>
  <c r="S21" i="15"/>
  <c r="AH21" i="15"/>
  <c r="AT21" i="15" s="1"/>
  <c r="R33" i="15"/>
  <c r="AK21" i="13"/>
  <c r="E24" i="13"/>
  <c r="AM21" i="14"/>
  <c r="AY21" i="14" s="1"/>
  <c r="BI21" i="14" s="1"/>
  <c r="AN22" i="14"/>
  <c r="AZ22" i="14" s="1"/>
  <c r="BJ22" i="14" s="1"/>
  <c r="Y22" i="14"/>
  <c r="AL22" i="14"/>
  <c r="AX22" i="14" s="1"/>
  <c r="BH22" i="14" s="1"/>
  <c r="X23" i="14"/>
  <c r="AG24" i="15"/>
  <c r="AS24" i="15" s="1"/>
  <c r="R24" i="15"/>
  <c r="N24" i="15"/>
  <c r="AG26" i="15"/>
  <c r="AS26" i="15" s="1"/>
  <c r="R26" i="15"/>
  <c r="N26" i="15"/>
  <c r="AG28" i="15"/>
  <c r="AS28" i="15" s="1"/>
  <c r="R28" i="15"/>
  <c r="N28" i="15"/>
  <c r="R30" i="15"/>
  <c r="AG30" i="15"/>
  <c r="AS30" i="15" s="1"/>
  <c r="N30" i="15"/>
  <c r="AG32" i="15"/>
  <c r="AS32" i="15" s="1"/>
  <c r="R32" i="15"/>
  <c r="T22" i="15"/>
  <c r="AI22" i="15"/>
  <c r="AU22" i="15" s="1"/>
  <c r="AM21" i="13"/>
  <c r="X21" i="13"/>
  <c r="AL21" i="14"/>
  <c r="AX21" i="14" s="1"/>
  <c r="BH21" i="14" s="1"/>
  <c r="AN22" i="13"/>
  <c r="Y22" i="13"/>
  <c r="AL21" i="13"/>
  <c r="N31" i="13"/>
  <c r="AG31" i="13"/>
  <c r="V22" i="14"/>
  <c r="R32" i="13"/>
  <c r="N32" i="13"/>
  <c r="AM22" i="14"/>
  <c r="AY22" i="14" s="1"/>
  <c r="BI22" i="14" s="1"/>
  <c r="S23" i="13"/>
  <c r="B24" i="13"/>
  <c r="R30" i="13"/>
  <c r="N34" i="13"/>
  <c r="AG26" i="14"/>
  <c r="AS26" i="14" s="1"/>
  <c r="BC26" i="14" s="1"/>
  <c r="R26" i="14"/>
  <c r="AK21" i="15"/>
  <c r="AW21" i="15" s="1"/>
  <c r="V21" i="15"/>
  <c r="AG29" i="13"/>
  <c r="R34" i="13"/>
  <c r="AI22" i="14"/>
  <c r="AU22" i="14" s="1"/>
  <c r="BE22" i="14" s="1"/>
  <c r="T22" i="14"/>
  <c r="AI21" i="14"/>
  <c r="AU21" i="14" s="1"/>
  <c r="BE21" i="14" s="1"/>
  <c r="AG24" i="14"/>
  <c r="AS24" i="14" s="1"/>
  <c r="BC24" i="14" s="1"/>
  <c r="R24" i="14"/>
  <c r="R32" i="14"/>
  <c r="AG32" i="14"/>
  <c r="AS32" i="14" s="1"/>
  <c r="BC32" i="14" s="1"/>
  <c r="N32" i="14"/>
  <c r="H24" i="14"/>
  <c r="AM22" i="15"/>
  <c r="AY22" i="15" s="1"/>
  <c r="X22" i="15"/>
  <c r="N29" i="13"/>
  <c r="R27" i="14"/>
  <c r="AG27" i="14"/>
  <c r="AS27" i="14" s="1"/>
  <c r="BC27" i="14" s="1"/>
  <c r="N27" i="14"/>
  <c r="R30" i="14"/>
  <c r="N30" i="14"/>
  <c r="AG30" i="14"/>
  <c r="AS30" i="14" s="1"/>
  <c r="BC30" i="14" s="1"/>
  <c r="AK22" i="15"/>
  <c r="AW22" i="15" s="1"/>
  <c r="V22" i="15"/>
  <c r="AG24" i="13"/>
  <c r="W21" i="15"/>
  <c r="AI21" i="13"/>
  <c r="G24" i="13"/>
  <c r="N27" i="13"/>
  <c r="AG27" i="13"/>
  <c r="AJ22" i="14"/>
  <c r="AV22" i="14" s="1"/>
  <c r="BF22" i="14" s="1"/>
  <c r="B24" i="14"/>
  <c r="N29" i="14"/>
  <c r="AG29" i="14"/>
  <c r="AS29" i="14" s="1"/>
  <c r="BC29" i="14" s="1"/>
  <c r="AN22" i="15"/>
  <c r="AZ22" i="15" s="1"/>
  <c r="Y22" i="15"/>
  <c r="AG28" i="14"/>
  <c r="AS28" i="14" s="1"/>
  <c r="BC28" i="14" s="1"/>
  <c r="R28" i="14"/>
  <c r="N28" i="14"/>
  <c r="AG33" i="14"/>
  <c r="AS33" i="14" s="1"/>
  <c r="BC33" i="14" s="1"/>
  <c r="R33" i="14"/>
  <c r="N33" i="14"/>
  <c r="I23" i="14"/>
  <c r="Z23" i="14" s="1"/>
  <c r="AO23" i="14" s="1"/>
  <c r="BA23" i="14" s="1"/>
  <c r="BK23" i="14" s="1"/>
  <c r="AJ21" i="15"/>
  <c r="AV21" i="15" s="1"/>
  <c r="AI21" i="15"/>
  <c r="AU21" i="15" s="1"/>
  <c r="T21" i="15"/>
  <c r="AJ22" i="15"/>
  <c r="AV22" i="15" s="1"/>
  <c r="U22" i="15"/>
  <c r="U23" i="15"/>
  <c r="A32" i="1"/>
  <c r="O32" i="1" s="1"/>
  <c r="V38" i="16" l="1"/>
  <c r="I40" i="16"/>
  <c r="F8" i="8" s="1"/>
  <c r="N8" i="8" s="1"/>
  <c r="I46" i="16"/>
  <c r="AH23" i="13"/>
  <c r="AK23" i="15"/>
  <c r="AW23" i="15" s="1"/>
  <c r="AM23" i="13"/>
  <c r="AK23" i="13"/>
  <c r="AH23" i="15"/>
  <c r="AT23" i="15" s="1"/>
  <c r="AJ23" i="15"/>
  <c r="AV23" i="15" s="1"/>
  <c r="I24" i="15"/>
  <c r="O24" i="15" s="1"/>
  <c r="O26" i="19"/>
  <c r="O27" i="19" s="1"/>
  <c r="O28" i="19" s="1"/>
  <c r="O29" i="19" s="1"/>
  <c r="O30" i="19" s="1"/>
  <c r="O31" i="19" s="1"/>
  <c r="S25" i="19"/>
  <c r="AN23" i="15"/>
  <c r="AZ23" i="15" s="1"/>
  <c r="AO23" i="13"/>
  <c r="O25" i="18"/>
  <c r="O26" i="18" s="1"/>
  <c r="O27" i="18" s="1"/>
  <c r="O28" i="18" s="1"/>
  <c r="O29" i="18" s="1"/>
  <c r="O30" i="18" s="1"/>
  <c r="Y24" i="18"/>
  <c r="S24" i="18"/>
  <c r="AM23" i="14"/>
  <c r="AY23" i="14" s="1"/>
  <c r="BI23" i="14" s="1"/>
  <c r="AH23" i="14"/>
  <c r="AT23" i="14" s="1"/>
  <c r="BD23" i="14" s="1"/>
  <c r="AJ23" i="14"/>
  <c r="AV23" i="14" s="1"/>
  <c r="BF23" i="14" s="1"/>
  <c r="I24" i="13"/>
  <c r="AK23" i="14"/>
  <c r="AW23" i="14" s="1"/>
  <c r="BG23" i="14" s="1"/>
  <c r="I24" i="14"/>
  <c r="AN23" i="14"/>
  <c r="AZ23" i="14" s="1"/>
  <c r="BJ23" i="14" s="1"/>
  <c r="O12" i="12"/>
  <c r="N12" i="12"/>
  <c r="H12" i="12"/>
  <c r="G12" i="12"/>
  <c r="E12" i="12"/>
  <c r="D12" i="12"/>
  <c r="B12" i="12"/>
  <c r="A12" i="12"/>
  <c r="A32" i="12" s="1"/>
  <c r="O12" i="10"/>
  <c r="N12" i="10"/>
  <c r="H12" i="10"/>
  <c r="G12" i="10"/>
  <c r="E12" i="10"/>
  <c r="D12" i="10"/>
  <c r="B12" i="10"/>
  <c r="A12" i="10"/>
  <c r="A32" i="10" s="1"/>
  <c r="H12" i="9"/>
  <c r="G12" i="9"/>
  <c r="F12" i="9"/>
  <c r="E12" i="9"/>
  <c r="D12" i="9"/>
  <c r="C12" i="9"/>
  <c r="B12" i="9"/>
  <c r="A12" i="9"/>
  <c r="A31" i="9" s="1"/>
  <c r="N31" i="9" s="1"/>
  <c r="H12" i="7"/>
  <c r="G12" i="7"/>
  <c r="F12" i="7"/>
  <c r="E12" i="7"/>
  <c r="D12" i="7"/>
  <c r="C12" i="7"/>
  <c r="B12" i="7"/>
  <c r="A12" i="7"/>
  <c r="A32" i="7" s="1"/>
  <c r="O32" i="7" s="1"/>
  <c r="AA32" i="7" s="1"/>
  <c r="A12" i="4"/>
  <c r="A32" i="4" s="1"/>
  <c r="B12" i="4"/>
  <c r="C12" i="4"/>
  <c r="D12" i="4"/>
  <c r="E12" i="4"/>
  <c r="F12" i="4"/>
  <c r="G12" i="4"/>
  <c r="H12" i="4"/>
  <c r="J12" i="1"/>
  <c r="K12" i="1"/>
  <c r="M12" i="1"/>
  <c r="N12" i="1"/>
  <c r="P12" i="1"/>
  <c r="Q12" i="1"/>
  <c r="H38" i="16" l="1"/>
  <c r="I48" i="16"/>
  <c r="F13" i="8"/>
  <c r="V40" i="16"/>
  <c r="P38" i="16"/>
  <c r="X38" i="16"/>
  <c r="O24" i="14"/>
  <c r="O24" i="13"/>
  <c r="J24" i="15"/>
  <c r="K24" i="15" s="1"/>
  <c r="L24" i="15" s="1"/>
  <c r="Z25" i="19"/>
  <c r="AT25" i="19" s="1"/>
  <c r="O31" i="18"/>
  <c r="O32" i="18" s="1"/>
  <c r="O33" i="18" s="1"/>
  <c r="O34" i="18" s="1"/>
  <c r="O37" i="18" s="1"/>
  <c r="BA23" i="15"/>
  <c r="AO23" i="15"/>
  <c r="Z24" i="18"/>
  <c r="AZ24" i="18" s="1"/>
  <c r="O32" i="19"/>
  <c r="O33" i="19" s="1"/>
  <c r="O34" i="19" s="1"/>
  <c r="O35" i="19" s="1"/>
  <c r="O38" i="19" s="1"/>
  <c r="O25" i="15"/>
  <c r="O26" i="15" s="1"/>
  <c r="O27" i="15" s="1"/>
  <c r="O28" i="15" s="1"/>
  <c r="O29" i="15" s="1"/>
  <c r="O30" i="15" s="1"/>
  <c r="O31" i="15" s="1"/>
  <c r="U24" i="15"/>
  <c r="S24" i="15"/>
  <c r="Y24" i="15"/>
  <c r="X24" i="15"/>
  <c r="V24" i="15"/>
  <c r="J24" i="13"/>
  <c r="K24" i="13" s="1"/>
  <c r="L24" i="13" s="1"/>
  <c r="J24" i="14"/>
  <c r="K24" i="14" s="1"/>
  <c r="L24" i="14" s="1"/>
  <c r="AG31" i="9"/>
  <c r="R31" i="9"/>
  <c r="N32" i="12"/>
  <c r="AG32" i="12"/>
  <c r="AQ32" i="12" s="1"/>
  <c r="R32" i="12"/>
  <c r="N32" i="10"/>
  <c r="AG32" i="10"/>
  <c r="AQ32" i="10" s="1"/>
  <c r="BA32" i="10" s="1"/>
  <c r="R32" i="10"/>
  <c r="O32" i="4"/>
  <c r="AA32" i="4" s="1"/>
  <c r="AK32" i="4"/>
  <c r="A9" i="12"/>
  <c r="A29" i="12" s="1"/>
  <c r="N29" i="12" s="1"/>
  <c r="B9" i="12"/>
  <c r="D9" i="12"/>
  <c r="E9" i="12"/>
  <c r="G9" i="12"/>
  <c r="H9" i="12"/>
  <c r="N9" i="12"/>
  <c r="O9" i="12"/>
  <c r="A10" i="12"/>
  <c r="A30" i="12" s="1"/>
  <c r="B10" i="12"/>
  <c r="D10" i="12"/>
  <c r="E10" i="12"/>
  <c r="G10" i="12"/>
  <c r="H10" i="12"/>
  <c r="N10" i="12"/>
  <c r="O10" i="12"/>
  <c r="A11" i="12"/>
  <c r="A31" i="12" s="1"/>
  <c r="B11" i="12"/>
  <c r="D11" i="12"/>
  <c r="E11" i="12"/>
  <c r="G11" i="12"/>
  <c r="H11" i="12"/>
  <c r="N11" i="12"/>
  <c r="O11" i="12"/>
  <c r="A8" i="10"/>
  <c r="B8" i="10"/>
  <c r="D8" i="10"/>
  <c r="E8" i="10"/>
  <c r="G8" i="10"/>
  <c r="H8" i="10"/>
  <c r="N8" i="10"/>
  <c r="O8" i="10"/>
  <c r="A9" i="10"/>
  <c r="B9" i="10"/>
  <c r="D9" i="10"/>
  <c r="E9" i="10"/>
  <c r="G9" i="10"/>
  <c r="H9" i="10"/>
  <c r="N9" i="10"/>
  <c r="O9" i="10"/>
  <c r="A10" i="10"/>
  <c r="A30" i="10" s="1"/>
  <c r="B10" i="10"/>
  <c r="D10" i="10"/>
  <c r="E10" i="10"/>
  <c r="G10" i="10"/>
  <c r="H10" i="10"/>
  <c r="N10" i="10"/>
  <c r="O10" i="10"/>
  <c r="A11" i="10"/>
  <c r="A31" i="10" s="1"/>
  <c r="B11" i="10"/>
  <c r="D11" i="10"/>
  <c r="E11" i="10"/>
  <c r="G11" i="10"/>
  <c r="H11" i="10"/>
  <c r="N11" i="10"/>
  <c r="O11" i="10"/>
  <c r="A5" i="9"/>
  <c r="B5" i="9"/>
  <c r="C5" i="9"/>
  <c r="D5" i="9"/>
  <c r="E5" i="9"/>
  <c r="F5" i="9"/>
  <c r="G5" i="9"/>
  <c r="H5" i="9"/>
  <c r="A6" i="9"/>
  <c r="B6" i="9"/>
  <c r="C6" i="9"/>
  <c r="D6" i="9"/>
  <c r="E6" i="9"/>
  <c r="F6" i="9"/>
  <c r="G6" i="9"/>
  <c r="H6" i="9"/>
  <c r="A7" i="9"/>
  <c r="B7" i="9"/>
  <c r="C7" i="9"/>
  <c r="D7" i="9"/>
  <c r="E7" i="9"/>
  <c r="F7" i="9"/>
  <c r="G7" i="9"/>
  <c r="H7" i="9"/>
  <c r="A8" i="9"/>
  <c r="B8" i="9"/>
  <c r="C8" i="9"/>
  <c r="D8" i="9"/>
  <c r="E8" i="9"/>
  <c r="F8" i="9"/>
  <c r="G8" i="9"/>
  <c r="H8" i="9"/>
  <c r="A9" i="9"/>
  <c r="B9" i="9"/>
  <c r="C9" i="9"/>
  <c r="D9" i="9"/>
  <c r="E9" i="9"/>
  <c r="F9" i="9"/>
  <c r="G9" i="9"/>
  <c r="H9" i="9"/>
  <c r="A10" i="9"/>
  <c r="A29" i="9" s="1"/>
  <c r="N29" i="9" s="1"/>
  <c r="B10" i="9"/>
  <c r="C10" i="9"/>
  <c r="D10" i="9"/>
  <c r="E10" i="9"/>
  <c r="F10" i="9"/>
  <c r="G10" i="9"/>
  <c r="H10" i="9"/>
  <c r="A11" i="9"/>
  <c r="A30" i="9" s="1"/>
  <c r="N30" i="9" s="1"/>
  <c r="B11" i="9"/>
  <c r="C11" i="9"/>
  <c r="D11" i="9"/>
  <c r="E11" i="9"/>
  <c r="F11" i="9"/>
  <c r="G11" i="9"/>
  <c r="H11" i="9"/>
  <c r="A9" i="7"/>
  <c r="B9" i="7"/>
  <c r="C9" i="7"/>
  <c r="D9" i="7"/>
  <c r="E9" i="7"/>
  <c r="F9" i="7"/>
  <c r="G9" i="7"/>
  <c r="H9" i="7"/>
  <c r="A10" i="7"/>
  <c r="A30" i="7" s="1"/>
  <c r="O30" i="7" s="1"/>
  <c r="AA30" i="7" s="1"/>
  <c r="B10" i="7"/>
  <c r="C10" i="7"/>
  <c r="D10" i="7"/>
  <c r="E10" i="7"/>
  <c r="F10" i="7"/>
  <c r="G10" i="7"/>
  <c r="H10" i="7"/>
  <c r="A11" i="7"/>
  <c r="A31" i="7" s="1"/>
  <c r="O31" i="7" s="1"/>
  <c r="AA31" i="7" s="1"/>
  <c r="B11" i="7"/>
  <c r="C11" i="7"/>
  <c r="D11" i="7"/>
  <c r="E11" i="7"/>
  <c r="F11" i="7"/>
  <c r="G11" i="7"/>
  <c r="H11" i="7"/>
  <c r="A29" i="7"/>
  <c r="O29" i="7" s="1"/>
  <c r="AA29" i="7" s="1"/>
  <c r="A9" i="4"/>
  <c r="A29" i="4" s="1"/>
  <c r="B9" i="4"/>
  <c r="C9" i="4"/>
  <c r="D9" i="4"/>
  <c r="E9" i="4"/>
  <c r="F9" i="4"/>
  <c r="G9" i="4"/>
  <c r="H9" i="4"/>
  <c r="A10" i="4"/>
  <c r="A30" i="4" s="1"/>
  <c r="B10" i="4"/>
  <c r="C10" i="4"/>
  <c r="D10" i="4"/>
  <c r="E10" i="4"/>
  <c r="F10" i="4"/>
  <c r="G10" i="4"/>
  <c r="H10" i="4"/>
  <c r="A11" i="4"/>
  <c r="A31" i="4" s="1"/>
  <c r="AK31" i="4" s="1"/>
  <c r="B11" i="4"/>
  <c r="C11" i="4"/>
  <c r="D11" i="4"/>
  <c r="E11" i="4"/>
  <c r="F11" i="4"/>
  <c r="G11" i="4"/>
  <c r="H11" i="4"/>
  <c r="A29" i="1"/>
  <c r="A30" i="1"/>
  <c r="O30" i="1" s="1"/>
  <c r="A31" i="1"/>
  <c r="O31" i="1" s="1"/>
  <c r="Q10" i="1"/>
  <c r="P10" i="1"/>
  <c r="N10" i="1"/>
  <c r="M10" i="1"/>
  <c r="K10" i="1"/>
  <c r="J10" i="1"/>
  <c r="I47" i="16" l="1"/>
  <c r="X40" i="16"/>
  <c r="F12" i="8"/>
  <c r="N12" i="8" s="1"/>
  <c r="B38" i="16"/>
  <c r="I38" i="16" s="1"/>
  <c r="O38" i="18"/>
  <c r="I43" i="18" s="1"/>
  <c r="I46" i="18" s="1"/>
  <c r="W38" i="16"/>
  <c r="N13" i="8"/>
  <c r="O39" i="19"/>
  <c r="I44" i="19" s="1"/>
  <c r="I47" i="19" s="1"/>
  <c r="AT24" i="18"/>
  <c r="AH24" i="18"/>
  <c r="BJ24" i="18"/>
  <c r="H25" i="18" s="1"/>
  <c r="Y25" i="18" s="1"/>
  <c r="BD24" i="18"/>
  <c r="B25" i="18" s="1"/>
  <c r="AD24" i="18"/>
  <c r="BK24" i="18"/>
  <c r="AA24" i="18"/>
  <c r="BA24" i="18"/>
  <c r="AH25" i="19"/>
  <c r="BA25" i="19"/>
  <c r="AD25" i="19"/>
  <c r="BK25" i="19"/>
  <c r="AA25" i="19"/>
  <c r="BD25" i="19"/>
  <c r="B26" i="19" s="1"/>
  <c r="AN24" i="18"/>
  <c r="AW24" i="15"/>
  <c r="E25" i="15" s="1"/>
  <c r="V25" i="15" s="1"/>
  <c r="AY24" i="15"/>
  <c r="G25" i="15" s="1"/>
  <c r="X25" i="15" s="1"/>
  <c r="O25" i="14"/>
  <c r="O26" i="14" s="1"/>
  <c r="O27" i="14" s="1"/>
  <c r="O28" i="14" s="1"/>
  <c r="O29" i="14" s="1"/>
  <c r="O30" i="14" s="1"/>
  <c r="O31" i="14" s="1"/>
  <c r="V24" i="14"/>
  <c r="U24" i="14"/>
  <c r="X24" i="14"/>
  <c r="Y24" i="14"/>
  <c r="S24" i="14"/>
  <c r="AT24" i="15"/>
  <c r="B25" i="15" s="1"/>
  <c r="Z24" i="15"/>
  <c r="AJ24" i="15" s="1"/>
  <c r="AV24" i="15"/>
  <c r="D25" i="15" s="1"/>
  <c r="U25" i="15" s="1"/>
  <c r="O25" i="13"/>
  <c r="Y24" i="13"/>
  <c r="U24" i="13"/>
  <c r="V24" i="13"/>
  <c r="X24" i="13"/>
  <c r="S24" i="13"/>
  <c r="O32" i="15"/>
  <c r="O33" i="15" s="1"/>
  <c r="O34" i="15" s="1"/>
  <c r="AZ24" i="15"/>
  <c r="H25" i="15" s="1"/>
  <c r="Y25" i="15" s="1"/>
  <c r="O30" i="4"/>
  <c r="AA30" i="4" s="1"/>
  <c r="AK30" i="4"/>
  <c r="O29" i="4"/>
  <c r="AA29" i="4" s="1"/>
  <c r="AK29" i="4"/>
  <c r="R30" i="9"/>
  <c r="AG30" i="9"/>
  <c r="R29" i="9"/>
  <c r="AG29" i="9"/>
  <c r="R31" i="10"/>
  <c r="N31" i="10"/>
  <c r="AG31" i="10"/>
  <c r="AQ31" i="10" s="1"/>
  <c r="BA31" i="10" s="1"/>
  <c r="N30" i="10"/>
  <c r="AG30" i="10"/>
  <c r="AQ30" i="10" s="1"/>
  <c r="BA30" i="10" s="1"/>
  <c r="R30" i="10"/>
  <c r="AG31" i="12"/>
  <c r="AQ31" i="12" s="1"/>
  <c r="R31" i="12"/>
  <c r="N31" i="12"/>
  <c r="AG30" i="12"/>
  <c r="AQ30" i="12" s="1"/>
  <c r="N30" i="12"/>
  <c r="R30" i="12"/>
  <c r="R29" i="12"/>
  <c r="O31" i="4"/>
  <c r="AA31" i="4" s="1"/>
  <c r="AG29" i="12"/>
  <c r="AQ29" i="12" s="1"/>
  <c r="AQ23" i="12"/>
  <c r="AY22" i="12"/>
  <c r="BL24" i="18" l="1"/>
  <c r="I44" i="16"/>
  <c r="I45" i="16"/>
  <c r="F6" i="8"/>
  <c r="N6" i="8" s="1"/>
  <c r="I39" i="16"/>
  <c r="AP25" i="19"/>
  <c r="AP24" i="18"/>
  <c r="O35" i="15"/>
  <c r="O38" i="15" s="1"/>
  <c r="O26" i="13"/>
  <c r="F25" i="8"/>
  <c r="N25" i="8" s="1"/>
  <c r="G25" i="8"/>
  <c r="O25" i="8" s="1"/>
  <c r="I42" i="19"/>
  <c r="G23" i="8" s="1"/>
  <c r="O23" i="8" s="1"/>
  <c r="AB25" i="19"/>
  <c r="I41" i="18"/>
  <c r="F23" i="8" s="1"/>
  <c r="N23" i="8" s="1"/>
  <c r="AB24" i="18"/>
  <c r="BL25" i="19"/>
  <c r="S25" i="18"/>
  <c r="I25" i="18"/>
  <c r="S26" i="19"/>
  <c r="I26" i="19"/>
  <c r="AO25" i="19"/>
  <c r="AO24" i="18"/>
  <c r="BF24" i="14"/>
  <c r="D25" i="14" s="1"/>
  <c r="U25" i="14" s="1"/>
  <c r="Z24" i="13"/>
  <c r="AJ24" i="13" s="1"/>
  <c r="B25" i="13"/>
  <c r="BG24" i="14"/>
  <c r="E25" i="14" s="1"/>
  <c r="V25" i="14" s="1"/>
  <c r="G25" i="13"/>
  <c r="X25" i="13" s="1"/>
  <c r="AD24" i="15"/>
  <c r="AA24" i="15"/>
  <c r="BB24" i="15"/>
  <c r="BA24" i="15"/>
  <c r="O32" i="14"/>
  <c r="O33" i="14" s="1"/>
  <c r="O34" i="14" s="1"/>
  <c r="E25" i="13"/>
  <c r="V25" i="13" s="1"/>
  <c r="I25" i="15"/>
  <c r="S25" i="15"/>
  <c r="D25" i="13"/>
  <c r="U25" i="13" s="1"/>
  <c r="AH24" i="15"/>
  <c r="AM24" i="15"/>
  <c r="AN24" i="15"/>
  <c r="H25" i="13"/>
  <c r="Y25" i="13" s="1"/>
  <c r="BD24" i="14"/>
  <c r="B25" i="14" s="1"/>
  <c r="Z24" i="14"/>
  <c r="AM24" i="14" s="1"/>
  <c r="BJ24" i="14"/>
  <c r="H25" i="14" s="1"/>
  <c r="Y25" i="14" s="1"/>
  <c r="AK24" i="15"/>
  <c r="BI24" i="14"/>
  <c r="G25" i="14" s="1"/>
  <c r="X25" i="14" s="1"/>
  <c r="J5" i="1"/>
  <c r="J6" i="1"/>
  <c r="J7" i="1"/>
  <c r="J8" i="1"/>
  <c r="J9" i="1"/>
  <c r="J11" i="1"/>
  <c r="I41" i="16" l="1"/>
  <c r="F9" i="8" s="1"/>
  <c r="N9" i="8" s="1"/>
  <c r="F7" i="8"/>
  <c r="N7" i="8" s="1"/>
  <c r="O39" i="15"/>
  <c r="I44" i="15" s="1"/>
  <c r="I47" i="15" s="1"/>
  <c r="O27" i="13"/>
  <c r="O28" i="13" s="1"/>
  <c r="O29" i="13" s="1"/>
  <c r="O30" i="13" s="1"/>
  <c r="O31" i="13" s="1"/>
  <c r="O32" i="13" s="1"/>
  <c r="O33" i="13" s="1"/>
  <c r="O34" i="13" s="1"/>
  <c r="O35" i="13" s="1"/>
  <c r="O38" i="13" s="1"/>
  <c r="AP24" i="15"/>
  <c r="AQ24" i="18"/>
  <c r="AQ25" i="19"/>
  <c r="O35" i="14"/>
  <c r="AC24" i="18"/>
  <c r="I42" i="18"/>
  <c r="F24" i="8" s="1"/>
  <c r="N24" i="8" s="1"/>
  <c r="J26" i="19"/>
  <c r="K26" i="19" s="1"/>
  <c r="L26" i="19" s="1"/>
  <c r="J25" i="18"/>
  <c r="K25" i="18" s="1"/>
  <c r="L25" i="18" s="1"/>
  <c r="Z26" i="19"/>
  <c r="Z25" i="18"/>
  <c r="AZ25" i="18" s="1"/>
  <c r="AC25" i="19"/>
  <c r="I43" i="19"/>
  <c r="G24" i="8" s="1"/>
  <c r="O24" i="8" s="1"/>
  <c r="AN24" i="13"/>
  <c r="BK24" i="14"/>
  <c r="AA24" i="14"/>
  <c r="AB24" i="14" s="1"/>
  <c r="AC24" i="14" s="1"/>
  <c r="AD24" i="14"/>
  <c r="BL24" i="14"/>
  <c r="D26" i="13"/>
  <c r="U26" i="13" s="1"/>
  <c r="I25" i="14"/>
  <c r="S25" i="14"/>
  <c r="AN24" i="14"/>
  <c r="AH24" i="14"/>
  <c r="H26" i="13"/>
  <c r="Y26" i="13" s="1"/>
  <c r="Z25" i="15"/>
  <c r="AH25" i="15" s="1"/>
  <c r="AB24" i="15"/>
  <c r="AC24" i="15" s="1"/>
  <c r="I25" i="13"/>
  <c r="S25" i="13"/>
  <c r="J25" i="15"/>
  <c r="K25" i="15" s="1"/>
  <c r="L25" i="15" s="1"/>
  <c r="AD24" i="13"/>
  <c r="AA24" i="13"/>
  <c r="AB24" i="13" s="1"/>
  <c r="AC24" i="13" s="1"/>
  <c r="AK24" i="13"/>
  <c r="AM24" i="13"/>
  <c r="AH24" i="13"/>
  <c r="E26" i="13"/>
  <c r="V26" i="13" s="1"/>
  <c r="G26" i="13"/>
  <c r="X26" i="13" s="1"/>
  <c r="AO24" i="15"/>
  <c r="AK24" i="14"/>
  <c r="AJ24" i="14"/>
  <c r="Q11" i="1"/>
  <c r="P11" i="1"/>
  <c r="Q9" i="1"/>
  <c r="P9" i="1"/>
  <c r="Q8" i="1"/>
  <c r="P8" i="1"/>
  <c r="Q7" i="1"/>
  <c r="P7" i="1"/>
  <c r="Q6" i="1"/>
  <c r="P6" i="1"/>
  <c r="Q5" i="1"/>
  <c r="P5" i="1"/>
  <c r="Q4" i="1"/>
  <c r="Q18" i="1" s="1"/>
  <c r="P4" i="1"/>
  <c r="P18" i="1" s="1"/>
  <c r="N11" i="1"/>
  <c r="M11" i="1"/>
  <c r="N9" i="1"/>
  <c r="M9" i="1"/>
  <c r="N8" i="1"/>
  <c r="M8" i="1"/>
  <c r="N7" i="1"/>
  <c r="M7" i="1"/>
  <c r="N6" i="1"/>
  <c r="M6" i="1"/>
  <c r="N5" i="1"/>
  <c r="M5" i="1"/>
  <c r="N4" i="1"/>
  <c r="M4" i="1"/>
  <c r="K5" i="1"/>
  <c r="K6" i="1"/>
  <c r="K7" i="1"/>
  <c r="K8" i="1"/>
  <c r="K9" i="1"/>
  <c r="K11" i="1"/>
  <c r="K4" i="1"/>
  <c r="J4" i="1"/>
  <c r="D25" i="8" l="1"/>
  <c r="M25" i="8" s="1"/>
  <c r="K18" i="1"/>
  <c r="N18" i="1"/>
  <c r="M18" i="1"/>
  <c r="O39" i="13"/>
  <c r="I44" i="13" s="1"/>
  <c r="C25" i="8" s="1"/>
  <c r="L25" i="8" s="1"/>
  <c r="AQ24" i="15"/>
  <c r="AP24" i="13"/>
  <c r="AP24" i="14"/>
  <c r="AH25" i="18"/>
  <c r="AT25" i="18"/>
  <c r="BJ25" i="18"/>
  <c r="H26" i="18" s="1"/>
  <c r="Y26" i="18" s="1"/>
  <c r="AA25" i="18"/>
  <c r="AB25" i="18" s="1"/>
  <c r="AC25" i="18" s="1"/>
  <c r="AD25" i="18"/>
  <c r="BD25" i="18"/>
  <c r="B26" i="18" s="1"/>
  <c r="BK25" i="18"/>
  <c r="BA25" i="18"/>
  <c r="AN25" i="18"/>
  <c r="AH26" i="19"/>
  <c r="AD26" i="19"/>
  <c r="AA26" i="19"/>
  <c r="AB26" i="19" s="1"/>
  <c r="AC26" i="19" s="1"/>
  <c r="BA26" i="19"/>
  <c r="BK26" i="19"/>
  <c r="BD26" i="19"/>
  <c r="B27" i="19" s="1"/>
  <c r="AT26" i="19"/>
  <c r="AO24" i="14"/>
  <c r="AO24" i="13"/>
  <c r="B26" i="13"/>
  <c r="Z25" i="13"/>
  <c r="AH25" i="13" s="1"/>
  <c r="J25" i="13"/>
  <c r="D27" i="13"/>
  <c r="U27" i="13" s="1"/>
  <c r="G27" i="13"/>
  <c r="X27" i="13" s="1"/>
  <c r="E27" i="13"/>
  <c r="V27" i="13" s="1"/>
  <c r="AD25" i="15"/>
  <c r="AZ25" i="15"/>
  <c r="H26" i="15" s="1"/>
  <c r="AA25" i="15"/>
  <c r="BA25" i="15"/>
  <c r="AM25" i="15"/>
  <c r="AN25" i="15"/>
  <c r="AK25" i="15"/>
  <c r="AJ25" i="15"/>
  <c r="Z25" i="14"/>
  <c r="J25" i="14"/>
  <c r="K25" i="14" s="1"/>
  <c r="L25" i="14" s="1"/>
  <c r="H27" i="13"/>
  <c r="Y27" i="13" s="1"/>
  <c r="G4" i="9"/>
  <c r="F4" i="9"/>
  <c r="E4" i="9"/>
  <c r="D4" i="9"/>
  <c r="C4" i="9"/>
  <c r="H22" i="9"/>
  <c r="Y22" i="9" s="1"/>
  <c r="G22" i="9"/>
  <c r="X22" i="9" s="1"/>
  <c r="E22" i="9"/>
  <c r="V22" i="9" s="1"/>
  <c r="D22" i="9"/>
  <c r="B22" i="9"/>
  <c r="S22" i="9" s="1"/>
  <c r="H4" i="9"/>
  <c r="A4" i="9"/>
  <c r="A23" i="9" s="1"/>
  <c r="N23" i="9" s="1"/>
  <c r="B4" i="9"/>
  <c r="C2" i="9"/>
  <c r="C20" i="9" s="1"/>
  <c r="T20" i="9" s="1"/>
  <c r="D2" i="9"/>
  <c r="D20" i="9" s="1"/>
  <c r="AJ20" i="9" s="1"/>
  <c r="E2" i="9"/>
  <c r="E20" i="9" s="1"/>
  <c r="AK20" i="9" s="1"/>
  <c r="F2" i="9"/>
  <c r="F20" i="9" s="1"/>
  <c r="W20" i="9" s="1"/>
  <c r="G2" i="9"/>
  <c r="G20" i="9" s="1"/>
  <c r="H2" i="9"/>
  <c r="H20" i="9" s="1"/>
  <c r="AN20" i="9" s="1"/>
  <c r="C3" i="9"/>
  <c r="C21" i="9" s="1"/>
  <c r="D3" i="9"/>
  <c r="D21" i="9" s="1"/>
  <c r="E3" i="9"/>
  <c r="E21" i="9" s="1"/>
  <c r="AK21" i="9" s="1"/>
  <c r="F3" i="9"/>
  <c r="F21" i="9" s="1"/>
  <c r="G3" i="9"/>
  <c r="G21" i="9" s="1"/>
  <c r="AM21" i="9" s="1"/>
  <c r="H3" i="9"/>
  <c r="H21" i="9" s="1"/>
  <c r="B2" i="9"/>
  <c r="B20" i="9" s="1"/>
  <c r="S20" i="9" s="1"/>
  <c r="B3" i="9"/>
  <c r="B21" i="9" s="1"/>
  <c r="A3" i="9"/>
  <c r="R22" i="9"/>
  <c r="R21" i="9"/>
  <c r="Z21" i="9"/>
  <c r="A28" i="9"/>
  <c r="N28" i="9" s="1"/>
  <c r="A27" i="9"/>
  <c r="A26" i="9"/>
  <c r="N26" i="9" s="1"/>
  <c r="A25" i="9"/>
  <c r="A24" i="9"/>
  <c r="B23" i="12"/>
  <c r="S23" i="12" s="1"/>
  <c r="B4" i="12"/>
  <c r="D23" i="12"/>
  <c r="D4" i="12"/>
  <c r="E23" i="12"/>
  <c r="V23" i="12" s="1"/>
  <c r="E4" i="12"/>
  <c r="G23" i="12"/>
  <c r="G4" i="12"/>
  <c r="H23" i="12"/>
  <c r="Y23" i="12" s="1"/>
  <c r="H4" i="12"/>
  <c r="O5" i="12"/>
  <c r="O6" i="12"/>
  <c r="O7" i="12"/>
  <c r="O8" i="12"/>
  <c r="B5" i="12"/>
  <c r="D5" i="12"/>
  <c r="E5" i="12"/>
  <c r="G5" i="12"/>
  <c r="H5" i="12"/>
  <c r="H6" i="12"/>
  <c r="B7" i="12"/>
  <c r="B8" i="12"/>
  <c r="D7" i="12"/>
  <c r="D8" i="12"/>
  <c r="E7" i="12"/>
  <c r="E8" i="12"/>
  <c r="G7" i="12"/>
  <c r="G8" i="12"/>
  <c r="H7" i="12"/>
  <c r="H8" i="12"/>
  <c r="B6" i="12"/>
  <c r="B26" i="12" s="1"/>
  <c r="D6" i="12"/>
  <c r="D26" i="12" s="1"/>
  <c r="E6" i="12"/>
  <c r="E26" i="12" s="1"/>
  <c r="G6" i="12"/>
  <c r="G26" i="12" s="1"/>
  <c r="A8" i="12"/>
  <c r="A28" i="12" s="1"/>
  <c r="A7" i="12"/>
  <c r="A27" i="12" s="1"/>
  <c r="R27" i="12" s="1"/>
  <c r="A6" i="12"/>
  <c r="A26" i="12" s="1"/>
  <c r="A5" i="12"/>
  <c r="A25" i="12" s="1"/>
  <c r="A4" i="12"/>
  <c r="A24" i="12" s="1"/>
  <c r="N8" i="12"/>
  <c r="N7" i="12"/>
  <c r="N6" i="12"/>
  <c r="N5" i="12"/>
  <c r="O4" i="12"/>
  <c r="N4" i="12"/>
  <c r="W23" i="12"/>
  <c r="T23" i="12"/>
  <c r="R23" i="12"/>
  <c r="Z22" i="12"/>
  <c r="R22" i="12"/>
  <c r="H3" i="12"/>
  <c r="H22" i="12" s="1"/>
  <c r="G3" i="12"/>
  <c r="G22" i="12" s="1"/>
  <c r="F3" i="12"/>
  <c r="F22" i="12" s="1"/>
  <c r="E3" i="12"/>
  <c r="E22" i="12" s="1"/>
  <c r="D3" i="12"/>
  <c r="D22" i="12" s="1"/>
  <c r="C3" i="12"/>
  <c r="C22" i="12" s="1"/>
  <c r="B3" i="12"/>
  <c r="B22" i="12" s="1"/>
  <c r="A3" i="12"/>
  <c r="H2" i="12"/>
  <c r="H21" i="12" s="1"/>
  <c r="G2" i="12"/>
  <c r="G21" i="12" s="1"/>
  <c r="AM21" i="12" s="1"/>
  <c r="AW21" i="12" s="1"/>
  <c r="F2" i="12"/>
  <c r="F21" i="12" s="1"/>
  <c r="E2" i="12"/>
  <c r="E21" i="12" s="1"/>
  <c r="D2" i="12"/>
  <c r="D21" i="12" s="1"/>
  <c r="C2" i="12"/>
  <c r="C21" i="12" s="1"/>
  <c r="AI21" i="12" s="1"/>
  <c r="AS21" i="12" s="1"/>
  <c r="B2" i="12"/>
  <c r="B21" i="12" s="1"/>
  <c r="H23" i="10"/>
  <c r="Y23" i="10" s="1"/>
  <c r="H4" i="10"/>
  <c r="B23" i="10"/>
  <c r="B4" i="10"/>
  <c r="D23" i="10"/>
  <c r="U23" i="10" s="1"/>
  <c r="D4" i="10"/>
  <c r="E23" i="10"/>
  <c r="V23" i="10" s="1"/>
  <c r="E4" i="10"/>
  <c r="G23" i="10"/>
  <c r="X23" i="10" s="1"/>
  <c r="G4" i="10"/>
  <c r="B5" i="10"/>
  <c r="O5" i="10"/>
  <c r="D5" i="10"/>
  <c r="E5" i="10"/>
  <c r="G5" i="10"/>
  <c r="H5" i="10"/>
  <c r="B6" i="10"/>
  <c r="O6" i="10"/>
  <c r="B7" i="10"/>
  <c r="O7" i="10"/>
  <c r="D6" i="10"/>
  <c r="D7" i="10"/>
  <c r="E6" i="10"/>
  <c r="E7" i="10"/>
  <c r="G6" i="10"/>
  <c r="G7" i="10"/>
  <c r="H6" i="10"/>
  <c r="H7" i="10"/>
  <c r="A4" i="10"/>
  <c r="A24" i="10" s="1"/>
  <c r="AG24" i="10" s="1"/>
  <c r="AQ24" i="10" s="1"/>
  <c r="BA24" i="10" s="1"/>
  <c r="A5" i="10"/>
  <c r="A25" i="10" s="1"/>
  <c r="A6" i="10"/>
  <c r="A26" i="10" s="1"/>
  <c r="N26" i="10" s="1"/>
  <c r="A7" i="10"/>
  <c r="A27" i="10" s="1"/>
  <c r="A29" i="10"/>
  <c r="H3" i="10"/>
  <c r="H22" i="10" s="1"/>
  <c r="G3" i="10"/>
  <c r="G22" i="10" s="1"/>
  <c r="AM22" i="10" s="1"/>
  <c r="AW22" i="10" s="1"/>
  <c r="BG22" i="10" s="1"/>
  <c r="F3" i="10"/>
  <c r="F22" i="10" s="1"/>
  <c r="AL22" i="10" s="1"/>
  <c r="AV22" i="10" s="1"/>
  <c r="BF22" i="10" s="1"/>
  <c r="E3" i="10"/>
  <c r="E22" i="10" s="1"/>
  <c r="D3" i="10"/>
  <c r="D22" i="10" s="1"/>
  <c r="AJ22" i="10" s="1"/>
  <c r="AT22" i="10" s="1"/>
  <c r="BD22" i="10" s="1"/>
  <c r="C3" i="10"/>
  <c r="C22" i="10" s="1"/>
  <c r="AI22" i="10" s="1"/>
  <c r="AS22" i="10" s="1"/>
  <c r="BC22" i="10" s="1"/>
  <c r="B3" i="10"/>
  <c r="B22" i="10" s="1"/>
  <c r="AH22" i="10" s="1"/>
  <c r="AR22" i="10" s="1"/>
  <c r="BB22" i="10" s="1"/>
  <c r="H2" i="10"/>
  <c r="H21" i="10" s="1"/>
  <c r="Y21" i="10" s="1"/>
  <c r="G2" i="10"/>
  <c r="G21" i="10" s="1"/>
  <c r="X21" i="10" s="1"/>
  <c r="F2" i="10"/>
  <c r="F21" i="10" s="1"/>
  <c r="AL21" i="10" s="1"/>
  <c r="AV21" i="10" s="1"/>
  <c r="BF21" i="10" s="1"/>
  <c r="E2" i="10"/>
  <c r="E21" i="10" s="1"/>
  <c r="V21" i="10" s="1"/>
  <c r="D2" i="10"/>
  <c r="D21" i="10" s="1"/>
  <c r="AJ21" i="10" s="1"/>
  <c r="AT21" i="10" s="1"/>
  <c r="BD21" i="10" s="1"/>
  <c r="C2" i="10"/>
  <c r="C21" i="10" s="1"/>
  <c r="B2" i="10"/>
  <c r="B21" i="10" s="1"/>
  <c r="AH21" i="10" s="1"/>
  <c r="AR21" i="10" s="1"/>
  <c r="BB21" i="10" s="1"/>
  <c r="A3" i="10"/>
  <c r="N4" i="10"/>
  <c r="O4" i="10"/>
  <c r="N5" i="10"/>
  <c r="N6" i="10"/>
  <c r="N7" i="10"/>
  <c r="AQ23" i="10"/>
  <c r="BA23" i="10" s="1"/>
  <c r="AY22" i="10"/>
  <c r="BI22" i="10" s="1"/>
  <c r="AQ22" i="10"/>
  <c r="A28" i="10"/>
  <c r="R28" i="10" s="1"/>
  <c r="W23" i="10"/>
  <c r="T23" i="10"/>
  <c r="R23" i="10"/>
  <c r="Z22" i="10"/>
  <c r="R22" i="10"/>
  <c r="AS23" i="10"/>
  <c r="H24" i="1"/>
  <c r="H25" i="1" s="1"/>
  <c r="H26" i="1" s="1"/>
  <c r="H27" i="1" s="1"/>
  <c r="B24" i="1"/>
  <c r="B25" i="1" s="1"/>
  <c r="B26" i="1" s="1"/>
  <c r="D24" i="1"/>
  <c r="D25" i="1" s="1"/>
  <c r="E24" i="1"/>
  <c r="E25" i="1" s="1"/>
  <c r="G24" i="1"/>
  <c r="G25" i="1" s="1"/>
  <c r="G26" i="1" s="1"/>
  <c r="G27" i="1" s="1"/>
  <c r="I23" i="1"/>
  <c r="A24" i="1"/>
  <c r="O24" i="1" s="1"/>
  <c r="A25" i="1"/>
  <c r="O25" i="1" s="1"/>
  <c r="A26" i="1"/>
  <c r="O26" i="1" s="1"/>
  <c r="A27" i="1"/>
  <c r="O27" i="1" s="1"/>
  <c r="A28" i="1"/>
  <c r="O28" i="1" s="1"/>
  <c r="O29" i="1"/>
  <c r="H22" i="1"/>
  <c r="V22" i="1" s="1"/>
  <c r="G22" i="1"/>
  <c r="U22" i="1" s="1"/>
  <c r="F22" i="1"/>
  <c r="T22" i="1" s="1"/>
  <c r="E22" i="1"/>
  <c r="S22" i="1" s="1"/>
  <c r="D22" i="1"/>
  <c r="R22" i="1" s="1"/>
  <c r="C22" i="1"/>
  <c r="Q22" i="1" s="1"/>
  <c r="H21" i="1"/>
  <c r="V21" i="1" s="1"/>
  <c r="G21" i="1"/>
  <c r="U21" i="1" s="1"/>
  <c r="F21" i="1"/>
  <c r="T21" i="1" s="1"/>
  <c r="E21" i="1"/>
  <c r="S21" i="1" s="1"/>
  <c r="D21" i="1"/>
  <c r="R21" i="1" s="1"/>
  <c r="C21" i="1"/>
  <c r="Q21" i="1" s="1"/>
  <c r="B22" i="1"/>
  <c r="P22" i="1" s="1"/>
  <c r="B21" i="1"/>
  <c r="P21" i="1" s="1"/>
  <c r="AA23" i="7"/>
  <c r="AI22" i="7"/>
  <c r="AA22" i="7"/>
  <c r="H23" i="7"/>
  <c r="AH23" i="7" s="1"/>
  <c r="G23" i="7"/>
  <c r="AG23" i="7" s="1"/>
  <c r="E23" i="7"/>
  <c r="AE23" i="7" s="1"/>
  <c r="D23" i="7"/>
  <c r="AD23" i="7" s="1"/>
  <c r="B23" i="7"/>
  <c r="AB23" i="7" s="1"/>
  <c r="H8" i="7"/>
  <c r="G8" i="7"/>
  <c r="F8" i="7"/>
  <c r="E8" i="7"/>
  <c r="D8" i="7"/>
  <c r="C8" i="7"/>
  <c r="H7" i="7"/>
  <c r="G7" i="7"/>
  <c r="F7" i="7"/>
  <c r="E7" i="7"/>
  <c r="D7" i="7"/>
  <c r="C7" i="7"/>
  <c r="H6" i="7"/>
  <c r="G6" i="7"/>
  <c r="G26" i="7" s="1"/>
  <c r="F6" i="7"/>
  <c r="E6" i="7"/>
  <c r="E26" i="7" s="1"/>
  <c r="D6" i="7"/>
  <c r="D26" i="7" s="1"/>
  <c r="C6" i="7"/>
  <c r="H5" i="7"/>
  <c r="G5" i="7"/>
  <c r="F5" i="7"/>
  <c r="E5" i="7"/>
  <c r="D5" i="7"/>
  <c r="C5" i="7"/>
  <c r="H4" i="7"/>
  <c r="G4" i="7"/>
  <c r="F4" i="7"/>
  <c r="E4" i="7"/>
  <c r="D4" i="7"/>
  <c r="C4" i="7"/>
  <c r="B4" i="7"/>
  <c r="B5" i="7"/>
  <c r="B6" i="7"/>
  <c r="B26" i="7" s="1"/>
  <c r="B7" i="7"/>
  <c r="B8" i="7"/>
  <c r="A4" i="7"/>
  <c r="A24" i="7" s="1"/>
  <c r="O24" i="7" s="1"/>
  <c r="AA24" i="7" s="1"/>
  <c r="A5" i="7"/>
  <c r="A25" i="7" s="1"/>
  <c r="O25" i="7" s="1"/>
  <c r="AA25" i="7" s="1"/>
  <c r="A6" i="7"/>
  <c r="A26" i="7" s="1"/>
  <c r="O26" i="7" s="1"/>
  <c r="AA26" i="7" s="1"/>
  <c r="A7" i="7"/>
  <c r="A27" i="7" s="1"/>
  <c r="O27" i="7" s="1"/>
  <c r="AA27" i="7" s="1"/>
  <c r="A8" i="7"/>
  <c r="A28" i="7" s="1"/>
  <c r="O28" i="7" s="1"/>
  <c r="AA28" i="7" s="1"/>
  <c r="C2" i="7"/>
  <c r="C21" i="7" s="1"/>
  <c r="Q21" i="7" s="1"/>
  <c r="AC21" i="7" s="1"/>
  <c r="D2" i="7"/>
  <c r="D21" i="7" s="1"/>
  <c r="R21" i="7" s="1"/>
  <c r="AD21" i="7" s="1"/>
  <c r="E2" i="7"/>
  <c r="E21" i="7" s="1"/>
  <c r="S21" i="7" s="1"/>
  <c r="AE21" i="7" s="1"/>
  <c r="F2" i="7"/>
  <c r="F21" i="7" s="1"/>
  <c r="T21" i="7" s="1"/>
  <c r="AF21" i="7" s="1"/>
  <c r="G2" i="7"/>
  <c r="G21" i="7" s="1"/>
  <c r="U21" i="7" s="1"/>
  <c r="AG21" i="7" s="1"/>
  <c r="H2" i="7"/>
  <c r="H21" i="7" s="1"/>
  <c r="V21" i="7" s="1"/>
  <c r="AH21" i="7" s="1"/>
  <c r="C3" i="7"/>
  <c r="C22" i="7" s="1"/>
  <c r="Q22" i="7" s="1"/>
  <c r="AC22" i="7" s="1"/>
  <c r="D3" i="7"/>
  <c r="D22" i="7" s="1"/>
  <c r="R22" i="7" s="1"/>
  <c r="AD22" i="7" s="1"/>
  <c r="E3" i="7"/>
  <c r="E22" i="7" s="1"/>
  <c r="S22" i="7" s="1"/>
  <c r="AE22" i="7" s="1"/>
  <c r="F3" i="7"/>
  <c r="F22" i="7" s="1"/>
  <c r="T22" i="7" s="1"/>
  <c r="AF22" i="7" s="1"/>
  <c r="G3" i="7"/>
  <c r="G22" i="7" s="1"/>
  <c r="U22" i="7" s="1"/>
  <c r="AG22" i="7" s="1"/>
  <c r="H3" i="7"/>
  <c r="H22" i="7" s="1"/>
  <c r="V22" i="7" s="1"/>
  <c r="AH22" i="7" s="1"/>
  <c r="B3" i="7"/>
  <c r="B22" i="7" s="1"/>
  <c r="P22" i="7" s="1"/>
  <c r="AB22" i="7" s="1"/>
  <c r="B2" i="7"/>
  <c r="B21" i="7" s="1"/>
  <c r="P21" i="7" s="1"/>
  <c r="AB21" i="7" s="1"/>
  <c r="A3" i="7"/>
  <c r="H23" i="4"/>
  <c r="B23" i="4"/>
  <c r="D23" i="4"/>
  <c r="E23" i="4"/>
  <c r="G23" i="4"/>
  <c r="B4" i="4"/>
  <c r="B5" i="4"/>
  <c r="D4" i="4"/>
  <c r="D5" i="4"/>
  <c r="E4" i="4"/>
  <c r="E5" i="4"/>
  <c r="G4" i="4"/>
  <c r="G5" i="4"/>
  <c r="H4" i="4"/>
  <c r="H5" i="4"/>
  <c r="B6" i="4"/>
  <c r="B7" i="4"/>
  <c r="AD23" i="4"/>
  <c r="AN23" i="4" s="1"/>
  <c r="D6" i="4"/>
  <c r="D7" i="4"/>
  <c r="AE23" i="4"/>
  <c r="AO23" i="4" s="1"/>
  <c r="E6" i="4"/>
  <c r="E7" i="4"/>
  <c r="AG23" i="4"/>
  <c r="AQ23" i="4" s="1"/>
  <c r="G6" i="4"/>
  <c r="G7" i="4"/>
  <c r="H6" i="4"/>
  <c r="H7" i="4"/>
  <c r="H8" i="4"/>
  <c r="G8" i="4"/>
  <c r="E8" i="4"/>
  <c r="D8" i="4"/>
  <c r="B8" i="4"/>
  <c r="F4" i="4"/>
  <c r="F5" i="4"/>
  <c r="F6" i="4"/>
  <c r="F7" i="4"/>
  <c r="F8" i="4"/>
  <c r="AA23" i="4"/>
  <c r="AK23" i="4" s="1"/>
  <c r="AA22" i="4"/>
  <c r="AI22" i="4"/>
  <c r="AS22" i="4" s="1"/>
  <c r="C4" i="4"/>
  <c r="C5" i="4"/>
  <c r="C6" i="4"/>
  <c r="C7" i="4"/>
  <c r="C8" i="4"/>
  <c r="A4" i="4"/>
  <c r="A24" i="4" s="1"/>
  <c r="A5" i="4"/>
  <c r="A25" i="4" s="1"/>
  <c r="AK25" i="4" s="1"/>
  <c r="A6" i="4"/>
  <c r="A26" i="4" s="1"/>
  <c r="A7" i="4"/>
  <c r="A27" i="4" s="1"/>
  <c r="A8" i="4"/>
  <c r="A28" i="4" s="1"/>
  <c r="H3" i="4"/>
  <c r="H22" i="4" s="1"/>
  <c r="V22" i="4" s="1"/>
  <c r="AH22" i="4" s="1"/>
  <c r="AR22" i="4" s="1"/>
  <c r="G3" i="4"/>
  <c r="G22" i="4" s="1"/>
  <c r="U22" i="4" s="1"/>
  <c r="AG22" i="4" s="1"/>
  <c r="AQ22" i="4" s="1"/>
  <c r="F3" i="4"/>
  <c r="F22" i="4" s="1"/>
  <c r="T22" i="4" s="1"/>
  <c r="AF22" i="4" s="1"/>
  <c r="AP22" i="4" s="1"/>
  <c r="E3" i="4"/>
  <c r="E22" i="4" s="1"/>
  <c r="S22" i="4" s="1"/>
  <c r="AE22" i="4" s="1"/>
  <c r="AO22" i="4" s="1"/>
  <c r="D3" i="4"/>
  <c r="D22" i="4" s="1"/>
  <c r="R22" i="4" s="1"/>
  <c r="AD22" i="4" s="1"/>
  <c r="AN22" i="4" s="1"/>
  <c r="C3" i="4"/>
  <c r="C22" i="4" s="1"/>
  <c r="Q22" i="4" s="1"/>
  <c r="AC22" i="4" s="1"/>
  <c r="AM22" i="4" s="1"/>
  <c r="H2" i="4"/>
  <c r="H21" i="4" s="1"/>
  <c r="V21" i="4" s="1"/>
  <c r="AH21" i="4" s="1"/>
  <c r="AR21" i="4" s="1"/>
  <c r="G2" i="4"/>
  <c r="G21" i="4" s="1"/>
  <c r="U21" i="4" s="1"/>
  <c r="AG21" i="4" s="1"/>
  <c r="AQ21" i="4" s="1"/>
  <c r="F2" i="4"/>
  <c r="F21" i="4" s="1"/>
  <c r="T21" i="4" s="1"/>
  <c r="AF21" i="4" s="1"/>
  <c r="AP21" i="4" s="1"/>
  <c r="E2" i="4"/>
  <c r="E21" i="4" s="1"/>
  <c r="S21" i="4" s="1"/>
  <c r="AE21" i="4" s="1"/>
  <c r="AO21" i="4" s="1"/>
  <c r="D2" i="4"/>
  <c r="D21" i="4" s="1"/>
  <c r="R21" i="4" s="1"/>
  <c r="AD21" i="4" s="1"/>
  <c r="AN21" i="4" s="1"/>
  <c r="C2" i="4"/>
  <c r="C21" i="4" s="1"/>
  <c r="Q21" i="4" s="1"/>
  <c r="AC21" i="4" s="1"/>
  <c r="AM21" i="4" s="1"/>
  <c r="B3" i="4"/>
  <c r="B22" i="4" s="1"/>
  <c r="P22" i="4" s="1"/>
  <c r="AB22" i="4" s="1"/>
  <c r="AL22" i="4" s="1"/>
  <c r="B2" i="4"/>
  <c r="B21" i="4" s="1"/>
  <c r="P21" i="4" s="1"/>
  <c r="AB21" i="4" s="1"/>
  <c r="AL21" i="4" s="1"/>
  <c r="A3" i="4"/>
  <c r="AQ24" i="13" l="1"/>
  <c r="BL26" i="19"/>
  <c r="I47" i="13"/>
  <c r="O38" i="14"/>
  <c r="O39" i="14"/>
  <c r="I44" i="14" s="1"/>
  <c r="AP25" i="15"/>
  <c r="AQ24" i="14"/>
  <c r="AP26" i="19"/>
  <c r="AQ26" i="19" s="1"/>
  <c r="AP25" i="18"/>
  <c r="AG24" i="9"/>
  <c r="N24" i="9"/>
  <c r="R25" i="9"/>
  <c r="N25" i="9"/>
  <c r="R27" i="9"/>
  <c r="N27" i="9"/>
  <c r="AO25" i="18"/>
  <c r="S27" i="19"/>
  <c r="I27" i="19"/>
  <c r="AO26" i="19"/>
  <c r="S26" i="18"/>
  <c r="I26" i="18"/>
  <c r="BL25" i="18"/>
  <c r="AH25" i="14"/>
  <c r="AO25" i="15"/>
  <c r="Y26" i="15"/>
  <c r="I26" i="15"/>
  <c r="BB25" i="15"/>
  <c r="H28" i="13"/>
  <c r="Y28" i="13" s="1"/>
  <c r="E28" i="13"/>
  <c r="V28" i="13" s="1"/>
  <c r="D28" i="13"/>
  <c r="U28" i="13" s="1"/>
  <c r="AD25" i="13"/>
  <c r="AA25" i="13"/>
  <c r="AN25" i="13"/>
  <c r="AK25" i="13"/>
  <c r="AM25" i="13"/>
  <c r="AJ25" i="13"/>
  <c r="I42" i="13"/>
  <c r="C23" i="8" s="1"/>
  <c r="L23" i="8" s="1"/>
  <c r="K25" i="13"/>
  <c r="AD25" i="14"/>
  <c r="BK25" i="14"/>
  <c r="AA25" i="14"/>
  <c r="BA25" i="14"/>
  <c r="BF25" i="14"/>
  <c r="D26" i="14" s="1"/>
  <c r="U26" i="14" s="1"/>
  <c r="BD25" i="14"/>
  <c r="B26" i="14" s="1"/>
  <c r="BJ25" i="14"/>
  <c r="H26" i="14" s="1"/>
  <c r="Y26" i="14" s="1"/>
  <c r="BI25" i="14"/>
  <c r="G26" i="14" s="1"/>
  <c r="X26" i="14" s="1"/>
  <c r="BG25" i="14"/>
  <c r="E26" i="14" s="1"/>
  <c r="V26" i="14" s="1"/>
  <c r="AM25" i="14"/>
  <c r="AJ25" i="14"/>
  <c r="AN25" i="14"/>
  <c r="AK25" i="14"/>
  <c r="I42" i="15"/>
  <c r="D23" i="8" s="1"/>
  <c r="M23" i="8" s="1"/>
  <c r="AB25" i="15"/>
  <c r="G28" i="13"/>
  <c r="X28" i="13" s="1"/>
  <c r="S26" i="13"/>
  <c r="I26" i="13"/>
  <c r="H23" i="9"/>
  <c r="X20" i="9"/>
  <c r="AM20" i="9"/>
  <c r="H24" i="7"/>
  <c r="AH24" i="7" s="1"/>
  <c r="H25" i="7" s="1"/>
  <c r="AG29" i="10"/>
  <c r="AQ29" i="10" s="1"/>
  <c r="BA29" i="10" s="1"/>
  <c r="R29" i="10"/>
  <c r="R28" i="9"/>
  <c r="AG28" i="9"/>
  <c r="I22" i="9"/>
  <c r="Z22" i="9" s="1"/>
  <c r="AO22" i="9" s="1"/>
  <c r="R24" i="9"/>
  <c r="B23" i="9"/>
  <c r="AK22" i="10"/>
  <c r="AU22" i="10" s="1"/>
  <c r="BE22" i="10" s="1"/>
  <c r="V22" i="10"/>
  <c r="G24" i="10"/>
  <c r="AI21" i="9"/>
  <c r="T21" i="9"/>
  <c r="E23" i="9"/>
  <c r="H24" i="4"/>
  <c r="AR24" i="4" s="1"/>
  <c r="H25" i="4" s="1"/>
  <c r="G24" i="7"/>
  <c r="AG24" i="7" s="1"/>
  <c r="G25" i="7" s="1"/>
  <c r="X22" i="10"/>
  <c r="AI20" i="9"/>
  <c r="W23" i="1"/>
  <c r="X21" i="9"/>
  <c r="AG27" i="10"/>
  <c r="AQ27" i="10" s="1"/>
  <c r="BA27" i="10" s="1"/>
  <c r="N27" i="10"/>
  <c r="R27" i="10"/>
  <c r="D24" i="4"/>
  <c r="AN24" i="4" s="1"/>
  <c r="D25" i="4" s="1"/>
  <c r="I23" i="4"/>
  <c r="W23" i="4" s="1"/>
  <c r="AI23" i="4" s="1"/>
  <c r="AS23" i="4" s="1"/>
  <c r="B24" i="7"/>
  <c r="AB24" i="7" s="1"/>
  <c r="AN21" i="10"/>
  <c r="AX21" i="10" s="1"/>
  <c r="BH21" i="10" s="1"/>
  <c r="B24" i="10"/>
  <c r="AG23" i="9"/>
  <c r="AG27" i="9"/>
  <c r="U22" i="9"/>
  <c r="R26" i="10"/>
  <c r="T22" i="10"/>
  <c r="S22" i="12"/>
  <c r="AH22" i="12"/>
  <c r="AR22" i="12" s="1"/>
  <c r="AJ22" i="12"/>
  <c r="AT22" i="12" s="1"/>
  <c r="U22" i="12"/>
  <c r="AN21" i="9"/>
  <c r="Y21" i="9"/>
  <c r="AJ21" i="9"/>
  <c r="U21" i="9"/>
  <c r="E24" i="4"/>
  <c r="AO24" i="4" s="1"/>
  <c r="E25" i="4" s="1"/>
  <c r="AK21" i="10"/>
  <c r="AU21" i="10" s="1"/>
  <c r="BE21" i="10" s="1"/>
  <c r="G24" i="12"/>
  <c r="R26" i="9"/>
  <c r="D23" i="9"/>
  <c r="B24" i="4"/>
  <c r="AL24" i="4" s="1"/>
  <c r="B25" i="4" s="1"/>
  <c r="S22" i="10"/>
  <c r="I23" i="10"/>
  <c r="Z23" i="10" s="1"/>
  <c r="AO23" i="10" s="1"/>
  <c r="AY23" i="10" s="1"/>
  <c r="BI23" i="10" s="1"/>
  <c r="H24" i="10"/>
  <c r="AG26" i="9"/>
  <c r="G23" i="9"/>
  <c r="AG26" i="10"/>
  <c r="AQ26" i="10" s="1"/>
  <c r="BA26" i="10" s="1"/>
  <c r="W22" i="10"/>
  <c r="R23" i="9"/>
  <c r="O26" i="4"/>
  <c r="AA26" i="4" s="1"/>
  <c r="AK26" i="4"/>
  <c r="AN22" i="10"/>
  <c r="AX22" i="10" s="1"/>
  <c r="BH22" i="10" s="1"/>
  <c r="Y22" i="10"/>
  <c r="N29" i="10"/>
  <c r="AG25" i="10"/>
  <c r="AQ25" i="10" s="1"/>
  <c r="BA25" i="10" s="1"/>
  <c r="N25" i="10"/>
  <c r="R25" i="10"/>
  <c r="AH21" i="9"/>
  <c r="S21" i="9"/>
  <c r="AL21" i="9"/>
  <c r="W21" i="9"/>
  <c r="T21" i="10"/>
  <c r="AI21" i="10"/>
  <c r="AS21" i="10" s="1"/>
  <c r="BC21" i="10" s="1"/>
  <c r="I23" i="7"/>
  <c r="S23" i="7" s="1"/>
  <c r="D24" i="7"/>
  <c r="AD24" i="7" s="1"/>
  <c r="D25" i="7" s="1"/>
  <c r="N28" i="10"/>
  <c r="U21" i="10"/>
  <c r="V21" i="9"/>
  <c r="G24" i="4"/>
  <c r="E24" i="7"/>
  <c r="AE24" i="7" s="1"/>
  <c r="E25" i="7" s="1"/>
  <c r="AM21" i="10"/>
  <c r="AW21" i="10" s="1"/>
  <c r="BG21" i="10" s="1"/>
  <c r="E24" i="10"/>
  <c r="D24" i="10"/>
  <c r="AG27" i="12"/>
  <c r="AQ27" i="12" s="1"/>
  <c r="N27" i="12"/>
  <c r="U22" i="10"/>
  <c r="H24" i="12"/>
  <c r="B24" i="12"/>
  <c r="AG25" i="9"/>
  <c r="R25" i="12"/>
  <c r="N25" i="12"/>
  <c r="AG25" i="12"/>
  <c r="AQ25" i="12" s="1"/>
  <c r="D24" i="12"/>
  <c r="X21" i="12"/>
  <c r="X23" i="12"/>
  <c r="I23" i="12"/>
  <c r="Z23" i="12" s="1"/>
  <c r="AN23" i="12" s="1"/>
  <c r="AX23" i="12" s="1"/>
  <c r="E24" i="12"/>
  <c r="T21" i="12"/>
  <c r="U23" i="12"/>
  <c r="AK24" i="4"/>
  <c r="O24" i="4"/>
  <c r="AA24" i="4" s="1"/>
  <c r="O27" i="4"/>
  <c r="AA27" i="4" s="1"/>
  <c r="AK27" i="4"/>
  <c r="AK28" i="4"/>
  <c r="O28" i="4"/>
  <c r="AA28" i="4" s="1"/>
  <c r="AI23" i="7"/>
  <c r="E26" i="1"/>
  <c r="H28" i="1"/>
  <c r="H29" i="1" s="1"/>
  <c r="H30" i="1" s="1"/>
  <c r="H31" i="1" s="1"/>
  <c r="H32" i="1" s="1"/>
  <c r="H33" i="1" s="1"/>
  <c r="H34" i="1" s="1"/>
  <c r="O25" i="4"/>
  <c r="AA25" i="4" s="1"/>
  <c r="G28" i="1"/>
  <c r="G29" i="1" s="1"/>
  <c r="G30" i="1" s="1"/>
  <c r="G31" i="1" s="1"/>
  <c r="G32" i="1" s="1"/>
  <c r="G33" i="1" s="1"/>
  <c r="G34" i="1" s="1"/>
  <c r="B27" i="1"/>
  <c r="I25" i="1"/>
  <c r="I24" i="1"/>
  <c r="D26" i="1"/>
  <c r="N24" i="10"/>
  <c r="AG28" i="10"/>
  <c r="AQ28" i="10" s="1"/>
  <c r="BA28" i="10" s="1"/>
  <c r="AJ21" i="12"/>
  <c r="AT21" i="12" s="1"/>
  <c r="U21" i="12"/>
  <c r="AK22" i="12"/>
  <c r="AU22" i="12" s="1"/>
  <c r="V22" i="12"/>
  <c r="R24" i="12"/>
  <c r="N24" i="12"/>
  <c r="AG24" i="12"/>
  <c r="AQ24" i="12" s="1"/>
  <c r="AH21" i="12"/>
  <c r="AR21" i="12" s="1"/>
  <c r="S21" i="12"/>
  <c r="V21" i="12"/>
  <c r="AK21" i="12"/>
  <c r="AU21" i="12" s="1"/>
  <c r="Y21" i="12"/>
  <c r="AN21" i="12"/>
  <c r="AX21" i="12" s="1"/>
  <c r="T22" i="12"/>
  <c r="AI22" i="12"/>
  <c r="AS22" i="12" s="1"/>
  <c r="W22" i="12"/>
  <c r="AL22" i="12"/>
  <c r="AV22" i="12" s="1"/>
  <c r="S21" i="10"/>
  <c r="W21" i="12"/>
  <c r="AL21" i="12"/>
  <c r="AV21" i="12" s="1"/>
  <c r="AM22" i="12"/>
  <c r="AW22" i="12" s="1"/>
  <c r="X22" i="12"/>
  <c r="R28" i="12"/>
  <c r="AG28" i="12"/>
  <c r="AQ28" i="12" s="1"/>
  <c r="N28" i="12"/>
  <c r="R24" i="10"/>
  <c r="W21" i="10"/>
  <c r="S23" i="10"/>
  <c r="Y22" i="12"/>
  <c r="AN22" i="12"/>
  <c r="AX22" i="12" s="1"/>
  <c r="R26" i="12"/>
  <c r="AG26" i="12"/>
  <c r="AQ26" i="12" s="1"/>
  <c r="N26" i="12"/>
  <c r="AH20" i="9"/>
  <c r="V20" i="9"/>
  <c r="U20" i="9"/>
  <c r="AL20" i="9"/>
  <c r="Y20" i="9"/>
  <c r="AQ25" i="18" l="1"/>
  <c r="AQ25" i="15"/>
  <c r="S24" i="1"/>
  <c r="I47" i="14"/>
  <c r="B25" i="8"/>
  <c r="K25" i="8" s="1"/>
  <c r="AP25" i="13"/>
  <c r="H35" i="1"/>
  <c r="G35" i="1"/>
  <c r="AP25" i="14"/>
  <c r="AB25" i="13"/>
  <c r="AC25" i="13" s="1"/>
  <c r="AO25" i="13"/>
  <c r="AQ25" i="13" s="1"/>
  <c r="J26" i="18"/>
  <c r="K26" i="18" s="1"/>
  <c r="L26" i="18" s="1"/>
  <c r="Z26" i="18"/>
  <c r="AZ26" i="18" s="1"/>
  <c r="J27" i="19"/>
  <c r="K27" i="19" s="1"/>
  <c r="L27" i="19" s="1"/>
  <c r="Z27" i="19"/>
  <c r="AT27" i="19" s="1"/>
  <c r="AO25" i="14"/>
  <c r="E29" i="13"/>
  <c r="V29" i="13" s="1"/>
  <c r="I43" i="15"/>
  <c r="D24" i="8" s="1"/>
  <c r="M24" i="8" s="1"/>
  <c r="AC25" i="15"/>
  <c r="I42" i="14"/>
  <c r="B23" i="8" s="1"/>
  <c r="K23" i="8" s="1"/>
  <c r="AB25" i="14"/>
  <c r="BL25" i="14"/>
  <c r="H29" i="13"/>
  <c r="Y29" i="13" s="1"/>
  <c r="J26" i="13"/>
  <c r="K26" i="13" s="1"/>
  <c r="L26" i="13" s="1"/>
  <c r="BJ26" i="14"/>
  <c r="H27" i="14" s="1"/>
  <c r="Y27" i="14" s="1"/>
  <c r="I26" i="14"/>
  <c r="S26" i="14"/>
  <c r="D29" i="13"/>
  <c r="U29" i="13" s="1"/>
  <c r="J26" i="15"/>
  <c r="K26" i="15" s="1"/>
  <c r="L26" i="15" s="1"/>
  <c r="BG26" i="14"/>
  <c r="E27" i="14" s="1"/>
  <c r="V27" i="14" s="1"/>
  <c r="BI26" i="14"/>
  <c r="G27" i="14" s="1"/>
  <c r="X27" i="14" s="1"/>
  <c r="Z26" i="13"/>
  <c r="B27" i="13"/>
  <c r="I43" i="13"/>
  <c r="C24" i="8" s="1"/>
  <c r="L24" i="8" s="1"/>
  <c r="L25" i="13"/>
  <c r="G29" i="13"/>
  <c r="X29" i="13" s="1"/>
  <c r="BF26" i="14"/>
  <c r="D27" i="14" s="1"/>
  <c r="U27" i="14" s="1"/>
  <c r="Z26" i="15"/>
  <c r="R25" i="1"/>
  <c r="I26" i="1"/>
  <c r="V26" i="1" s="1"/>
  <c r="AK22" i="9"/>
  <c r="AN23" i="10"/>
  <c r="AX23" i="10" s="1"/>
  <c r="BH23" i="10" s="1"/>
  <c r="I24" i="7"/>
  <c r="AJ22" i="9"/>
  <c r="AN22" i="9"/>
  <c r="AM22" i="9"/>
  <c r="AH23" i="4"/>
  <c r="AR23" i="4" s="1"/>
  <c r="P23" i="4"/>
  <c r="AB23" i="4" s="1"/>
  <c r="AL23" i="4" s="1"/>
  <c r="I23" i="9"/>
  <c r="AH23" i="10"/>
  <c r="AR23" i="10" s="1"/>
  <c r="BB23" i="10" s="1"/>
  <c r="AH22" i="9"/>
  <c r="I24" i="10"/>
  <c r="I24" i="4"/>
  <c r="AJ23" i="7"/>
  <c r="AJ23" i="10"/>
  <c r="AT23" i="10" s="1"/>
  <c r="BD23" i="10" s="1"/>
  <c r="AM23" i="10"/>
  <c r="AW23" i="10" s="1"/>
  <c r="BG23" i="10" s="1"/>
  <c r="AJ23" i="12"/>
  <c r="AT23" i="12" s="1"/>
  <c r="I24" i="12"/>
  <c r="AK23" i="10"/>
  <c r="AU23" i="10" s="1"/>
  <c r="BE23" i="10" s="1"/>
  <c r="AQ24" i="4"/>
  <c r="G25" i="4" s="1"/>
  <c r="I25" i="4" s="1"/>
  <c r="U23" i="7"/>
  <c r="W23" i="7"/>
  <c r="R23" i="7"/>
  <c r="P23" i="7"/>
  <c r="V23" i="7"/>
  <c r="AH23" i="12"/>
  <c r="AK23" i="12"/>
  <c r="AU23" i="12" s="1"/>
  <c r="AM23" i="12"/>
  <c r="AW23" i="12" s="1"/>
  <c r="V24" i="1"/>
  <c r="J24" i="1"/>
  <c r="K24" i="1" s="1"/>
  <c r="L24" i="1" s="1"/>
  <c r="P24" i="1"/>
  <c r="U24" i="1"/>
  <c r="V25" i="1"/>
  <c r="J25" i="1"/>
  <c r="P25" i="1"/>
  <c r="E27" i="1"/>
  <c r="S25" i="1"/>
  <c r="R24" i="1"/>
  <c r="D27" i="1"/>
  <c r="U25" i="1"/>
  <c r="B28" i="1"/>
  <c r="B29" i="1" s="1"/>
  <c r="B30" i="1" s="1"/>
  <c r="B31" i="1" s="1"/>
  <c r="B32" i="1" s="1"/>
  <c r="B33" i="1" s="1"/>
  <c r="B34" i="1" s="1"/>
  <c r="B25" i="7"/>
  <c r="AI24" i="7"/>
  <c r="P24" i="7" l="1"/>
  <c r="O23" i="9"/>
  <c r="O24" i="9" s="1"/>
  <c r="O25" i="9" s="1"/>
  <c r="O26" i="9" s="1"/>
  <c r="O27" i="9" s="1"/>
  <c r="O28" i="9" s="1"/>
  <c r="O29" i="9" s="1"/>
  <c r="O30" i="9" s="1"/>
  <c r="O31" i="9" s="1"/>
  <c r="O32" i="9" s="1"/>
  <c r="H38" i="1"/>
  <c r="G38" i="1"/>
  <c r="AQ25" i="14"/>
  <c r="X25" i="1"/>
  <c r="B35" i="1"/>
  <c r="X24" i="1"/>
  <c r="Y24" i="1" s="1"/>
  <c r="AT26" i="18"/>
  <c r="AH26" i="18"/>
  <c r="BJ26" i="18"/>
  <c r="H27" i="18" s="1"/>
  <c r="Y27" i="18" s="1"/>
  <c r="BD26" i="18"/>
  <c r="B27" i="18" s="1"/>
  <c r="AD26" i="18"/>
  <c r="BA26" i="18"/>
  <c r="BK26" i="18"/>
  <c r="AA26" i="18"/>
  <c r="AB26" i="18" s="1"/>
  <c r="AC26" i="18" s="1"/>
  <c r="AN26" i="18"/>
  <c r="AH27" i="19"/>
  <c r="BA27" i="19"/>
  <c r="BD27" i="19"/>
  <c r="B28" i="19" s="1"/>
  <c r="AD27" i="19"/>
  <c r="AA27" i="19"/>
  <c r="AB27" i="19" s="1"/>
  <c r="AC27" i="19" s="1"/>
  <c r="BK27" i="19"/>
  <c r="BL27" i="19"/>
  <c r="J26" i="14"/>
  <c r="K26" i="14" s="1"/>
  <c r="L26" i="14" s="1"/>
  <c r="BA26" i="15"/>
  <c r="AZ26" i="15"/>
  <c r="H27" i="15" s="1"/>
  <c r="Y27" i="15" s="1"/>
  <c r="AM26" i="15"/>
  <c r="AA26" i="15"/>
  <c r="AJ26" i="15"/>
  <c r="AK26" i="15"/>
  <c r="AH26" i="15"/>
  <c r="AD26" i="15"/>
  <c r="AY26" i="15"/>
  <c r="G27" i="15" s="1"/>
  <c r="X27" i="15" s="1"/>
  <c r="AV26" i="15"/>
  <c r="D27" i="15" s="1"/>
  <c r="U27" i="15" s="1"/>
  <c r="AW26" i="15"/>
  <c r="E27" i="15" s="1"/>
  <c r="V27" i="15" s="1"/>
  <c r="AT26" i="15"/>
  <c r="B27" i="15" s="1"/>
  <c r="AN26" i="15"/>
  <c r="I27" i="13"/>
  <c r="S27" i="13"/>
  <c r="I43" i="14"/>
  <c r="B24" i="8" s="1"/>
  <c r="K24" i="8" s="1"/>
  <c r="AC25" i="14"/>
  <c r="AA26" i="13"/>
  <c r="AD26" i="13"/>
  <c r="AM26" i="13"/>
  <c r="AK26" i="13"/>
  <c r="AN26" i="13"/>
  <c r="AJ26" i="13"/>
  <c r="AH26" i="13"/>
  <c r="D30" i="13"/>
  <c r="U30" i="13" s="1"/>
  <c r="G30" i="13"/>
  <c r="X30" i="13" s="1"/>
  <c r="BD26" i="14"/>
  <c r="B27" i="14" s="1"/>
  <c r="Z26" i="14"/>
  <c r="H30" i="13"/>
  <c r="Y30" i="13" s="1"/>
  <c r="E30" i="13"/>
  <c r="V30" i="13" s="1"/>
  <c r="AJ24" i="7"/>
  <c r="J26" i="1"/>
  <c r="K26" i="1" s="1"/>
  <c r="U26" i="1"/>
  <c r="S24" i="7"/>
  <c r="S26" i="1"/>
  <c r="S24" i="4"/>
  <c r="P26" i="1"/>
  <c r="O24" i="12"/>
  <c r="O24" i="10"/>
  <c r="R26" i="1"/>
  <c r="V24" i="7"/>
  <c r="U24" i="7"/>
  <c r="R24" i="7"/>
  <c r="J24" i="7"/>
  <c r="K24" i="7" s="1"/>
  <c r="L24" i="7" s="1"/>
  <c r="J23" i="9"/>
  <c r="K23" i="9" s="1"/>
  <c r="L23" i="9" s="1"/>
  <c r="R24" i="4"/>
  <c r="J24" i="10"/>
  <c r="K24" i="10" s="1"/>
  <c r="L24" i="10" s="1"/>
  <c r="AS24" i="4"/>
  <c r="AT24" i="4" s="1"/>
  <c r="I27" i="1"/>
  <c r="P24" i="4"/>
  <c r="AI24" i="4"/>
  <c r="J24" i="4"/>
  <c r="K24" i="4" s="1"/>
  <c r="L24" i="4" s="1"/>
  <c r="V24" i="4"/>
  <c r="U24" i="4"/>
  <c r="J24" i="12"/>
  <c r="K24" i="12" s="1"/>
  <c r="L24" i="12" s="1"/>
  <c r="K25" i="1"/>
  <c r="I42" i="1"/>
  <c r="C10" i="8" s="1"/>
  <c r="L10" i="8" s="1"/>
  <c r="W25" i="1"/>
  <c r="Y25" i="1" s="1"/>
  <c r="W24" i="1"/>
  <c r="AR23" i="12"/>
  <c r="AY23" i="12" s="1"/>
  <c r="AO23" i="12"/>
  <c r="AS25" i="4"/>
  <c r="J25" i="4"/>
  <c r="S25" i="4"/>
  <c r="AI25" i="4"/>
  <c r="P25" i="4"/>
  <c r="U25" i="4"/>
  <c r="R25" i="4"/>
  <c r="I25" i="7"/>
  <c r="P25" i="7" s="1"/>
  <c r="D28" i="1"/>
  <c r="D29" i="1" s="1"/>
  <c r="E28" i="1"/>
  <c r="E29" i="1" s="1"/>
  <c r="E30" i="1" s="1"/>
  <c r="E31" i="1" s="1"/>
  <c r="E32" i="1" s="1"/>
  <c r="E33" i="1" s="1"/>
  <c r="E34" i="1" s="1"/>
  <c r="Y24" i="10" l="1"/>
  <c r="BH24" i="10" s="1"/>
  <c r="H25" i="10" s="1"/>
  <c r="V24" i="12"/>
  <c r="AU24" i="12" s="1"/>
  <c r="E25" i="12" s="1"/>
  <c r="B38" i="1"/>
  <c r="J27" i="1"/>
  <c r="K27" i="1" s="1"/>
  <c r="L27" i="1" s="1"/>
  <c r="Y23" i="9"/>
  <c r="X24" i="7"/>
  <c r="AP26" i="13"/>
  <c r="AP26" i="15"/>
  <c r="AP27" i="19"/>
  <c r="E35" i="1"/>
  <c r="O33" i="9"/>
  <c r="X25" i="4"/>
  <c r="X24" i="4"/>
  <c r="X26" i="1"/>
  <c r="AP26" i="18"/>
  <c r="BL26" i="18"/>
  <c r="AB26" i="13"/>
  <c r="AC26" i="13" s="1"/>
  <c r="AO26" i="18"/>
  <c r="S28" i="19"/>
  <c r="I28" i="19"/>
  <c r="S27" i="18"/>
  <c r="I27" i="18"/>
  <c r="AO27" i="19"/>
  <c r="AW27" i="15"/>
  <c r="E28" i="15" s="1"/>
  <c r="V28" i="15" s="1"/>
  <c r="E31" i="13"/>
  <c r="V31" i="13" s="1"/>
  <c r="AV27" i="15"/>
  <c r="D28" i="15" s="1"/>
  <c r="U28" i="15" s="1"/>
  <c r="G31" i="13"/>
  <c r="X31" i="13" s="1"/>
  <c r="AY27" i="15"/>
  <c r="G28" i="15" s="1"/>
  <c r="X28" i="15" s="1"/>
  <c r="AZ27" i="15"/>
  <c r="H28" i="15" s="1"/>
  <c r="Y28" i="15" s="1"/>
  <c r="H31" i="13"/>
  <c r="Y31" i="13" s="1"/>
  <c r="BL26" i="14"/>
  <c r="BK26" i="14"/>
  <c r="AA26" i="14"/>
  <c r="AB26" i="14" s="1"/>
  <c r="AC26" i="14" s="1"/>
  <c r="AD26" i="14"/>
  <c r="BA26" i="14"/>
  <c r="AM26" i="14"/>
  <c r="AJ26" i="14"/>
  <c r="AN26" i="14"/>
  <c r="AK26" i="14"/>
  <c r="AO26" i="15"/>
  <c r="AQ26" i="15" s="1"/>
  <c r="S27" i="14"/>
  <c r="I27" i="14"/>
  <c r="J27" i="13"/>
  <c r="K27" i="13" s="1"/>
  <c r="L27" i="13" s="1"/>
  <c r="AB26" i="15"/>
  <c r="AC26" i="15" s="1"/>
  <c r="D31" i="13"/>
  <c r="U31" i="13" s="1"/>
  <c r="Z27" i="13"/>
  <c r="B28" i="13"/>
  <c r="AH26" i="14"/>
  <c r="AO26" i="13"/>
  <c r="I27" i="15"/>
  <c r="S27" i="15"/>
  <c r="BB26" i="15"/>
  <c r="U24" i="12"/>
  <c r="AT24" i="12" s="1"/>
  <c r="D25" i="12" s="1"/>
  <c r="O25" i="12"/>
  <c r="O26" i="12" s="1"/>
  <c r="O27" i="12" s="1"/>
  <c r="O28" i="12" s="1"/>
  <c r="O29" i="12" s="1"/>
  <c r="O30" i="12" s="1"/>
  <c r="O31" i="12" s="1"/>
  <c r="O32" i="12" s="1"/>
  <c r="O33" i="12" s="1"/>
  <c r="O34" i="12" s="1"/>
  <c r="O35" i="12" s="1"/>
  <c r="O38" i="12" s="1"/>
  <c r="X24" i="12"/>
  <c r="AW24" i="12" s="1"/>
  <c r="G25" i="12" s="1"/>
  <c r="O25" i="10"/>
  <c r="O26" i="10" s="1"/>
  <c r="O27" i="10" s="1"/>
  <c r="O28" i="10" s="1"/>
  <c r="O29" i="10" s="1"/>
  <c r="O30" i="10" s="1"/>
  <c r="O31" i="10" s="1"/>
  <c r="O32" i="10" s="1"/>
  <c r="O33" i="10" s="1"/>
  <c r="O34" i="10" s="1"/>
  <c r="O35" i="10" s="1"/>
  <c r="O38" i="10" s="1"/>
  <c r="V23" i="9"/>
  <c r="E24" i="9" s="1"/>
  <c r="U24" i="10"/>
  <c r="BD24" i="10" s="1"/>
  <c r="D25" i="10" s="1"/>
  <c r="S24" i="10"/>
  <c r="BB24" i="10" s="1"/>
  <c r="B25" i="10" s="1"/>
  <c r="V24" i="10"/>
  <c r="BE24" i="10" s="1"/>
  <c r="E25" i="10" s="1"/>
  <c r="X24" i="10"/>
  <c r="BG24" i="10" s="1"/>
  <c r="G25" i="10" s="1"/>
  <c r="S24" i="12"/>
  <c r="AR24" i="12" s="1"/>
  <c r="B25" i="12" s="1"/>
  <c r="W24" i="7"/>
  <c r="S23" i="9"/>
  <c r="B24" i="9" s="1"/>
  <c r="Y24" i="12"/>
  <c r="W26" i="1"/>
  <c r="X23" i="9"/>
  <c r="G24" i="9" s="1"/>
  <c r="U23" i="9"/>
  <c r="D24" i="9" s="1"/>
  <c r="P27" i="1"/>
  <c r="V27" i="1"/>
  <c r="U27" i="1"/>
  <c r="S27" i="1"/>
  <c r="R27" i="1"/>
  <c r="W24" i="4"/>
  <c r="D30" i="1"/>
  <c r="I29" i="1"/>
  <c r="W25" i="4"/>
  <c r="L25" i="1"/>
  <c r="I43" i="1"/>
  <c r="C11" i="8" s="1"/>
  <c r="L11" i="8" s="1"/>
  <c r="H24" i="9"/>
  <c r="L26" i="1"/>
  <c r="K25" i="4"/>
  <c r="I42" i="4"/>
  <c r="B10" i="8" s="1"/>
  <c r="K10" i="8" s="1"/>
  <c r="I28" i="1"/>
  <c r="AN25" i="4"/>
  <c r="D26" i="4" s="1"/>
  <c r="AQ25" i="4"/>
  <c r="G26" i="4" s="1"/>
  <c r="AO25" i="4"/>
  <c r="E26" i="4" s="1"/>
  <c r="AR25" i="4"/>
  <c r="H26" i="4" s="1"/>
  <c r="AL25" i="4"/>
  <c r="B26" i="4" s="1"/>
  <c r="V25" i="7"/>
  <c r="U25" i="7"/>
  <c r="S25" i="7"/>
  <c r="AH25" i="7"/>
  <c r="J25" i="7"/>
  <c r="R25" i="7"/>
  <c r="Y24" i="7" l="1"/>
  <c r="O39" i="10"/>
  <c r="I44" i="10" s="1"/>
  <c r="I47" i="10" s="1"/>
  <c r="E38" i="1"/>
  <c r="O39" i="12"/>
  <c r="I44" i="12" s="1"/>
  <c r="I47" i="12" s="1"/>
  <c r="AQ27" i="19"/>
  <c r="AQ26" i="13"/>
  <c r="AQ26" i="18"/>
  <c r="X25" i="7"/>
  <c r="Y26" i="1"/>
  <c r="X27" i="1"/>
  <c r="Y24" i="4"/>
  <c r="AP26" i="14"/>
  <c r="Y25" i="4"/>
  <c r="O34" i="9"/>
  <c r="J27" i="18"/>
  <c r="K27" i="18" s="1"/>
  <c r="L27" i="18" s="1"/>
  <c r="Z27" i="18"/>
  <c r="AZ27" i="18" s="1"/>
  <c r="J28" i="19"/>
  <c r="K28" i="19" s="1"/>
  <c r="L28" i="19" s="1"/>
  <c r="Z28" i="19"/>
  <c r="AT28" i="19" s="1"/>
  <c r="Y24" i="9"/>
  <c r="H25" i="9" s="1"/>
  <c r="Y25" i="9" s="1"/>
  <c r="Z24" i="12"/>
  <c r="AH24" i="12" s="1"/>
  <c r="X25" i="12"/>
  <c r="V25" i="12"/>
  <c r="S28" i="13"/>
  <c r="I28" i="13"/>
  <c r="G32" i="13"/>
  <c r="X32" i="13" s="1"/>
  <c r="AT27" i="15"/>
  <c r="B28" i="15" s="1"/>
  <c r="Z27" i="15"/>
  <c r="H32" i="13"/>
  <c r="Y32" i="13" s="1"/>
  <c r="D32" i="13"/>
  <c r="U32" i="13" s="1"/>
  <c r="AZ28" i="15"/>
  <c r="H29" i="15" s="1"/>
  <c r="Y29" i="15" s="1"/>
  <c r="E32" i="13"/>
  <c r="V32" i="13" s="1"/>
  <c r="AA27" i="13"/>
  <c r="AD27" i="13"/>
  <c r="AJ27" i="13"/>
  <c r="AN27" i="13"/>
  <c r="AM27" i="13"/>
  <c r="AK27" i="13"/>
  <c r="AO26" i="14"/>
  <c r="J27" i="14"/>
  <c r="K27" i="14" s="1"/>
  <c r="L27" i="14" s="1"/>
  <c r="Z27" i="14"/>
  <c r="AV28" i="15"/>
  <c r="D29" i="15" s="1"/>
  <c r="U29" i="15" s="1"/>
  <c r="J27" i="15"/>
  <c r="K27" i="15" s="1"/>
  <c r="L27" i="15" s="1"/>
  <c r="AH27" i="13"/>
  <c r="AY28" i="15"/>
  <c r="G29" i="15" s="1"/>
  <c r="X29" i="15" s="1"/>
  <c r="AW28" i="15"/>
  <c r="E29" i="15" s="1"/>
  <c r="V29" i="15" s="1"/>
  <c r="U25" i="12"/>
  <c r="Z24" i="10"/>
  <c r="AJ24" i="10" s="1"/>
  <c r="U24" i="9"/>
  <c r="D25" i="9" s="1"/>
  <c r="U25" i="9" s="1"/>
  <c r="X24" i="9"/>
  <c r="G25" i="9" s="1"/>
  <c r="X25" i="9" s="1"/>
  <c r="G26" i="9" s="1"/>
  <c r="AX24" i="12"/>
  <c r="H25" i="12" s="1"/>
  <c r="Y25" i="12" s="1"/>
  <c r="Z23" i="9"/>
  <c r="AH23" i="9" s="1"/>
  <c r="V24" i="9"/>
  <c r="E25" i="9" s="1"/>
  <c r="V25" i="9" s="1"/>
  <c r="R28" i="1"/>
  <c r="W27" i="1"/>
  <c r="J29" i="1"/>
  <c r="K29" i="1" s="1"/>
  <c r="L29" i="1" s="1"/>
  <c r="D31" i="1"/>
  <c r="D32" i="1" s="1"/>
  <c r="D33" i="1" s="1"/>
  <c r="D34" i="1" s="1"/>
  <c r="I30" i="1"/>
  <c r="J30" i="1" s="1"/>
  <c r="K30" i="1" s="1"/>
  <c r="L30" i="1" s="1"/>
  <c r="P29" i="1"/>
  <c r="S28" i="1"/>
  <c r="W25" i="7"/>
  <c r="X25" i="10"/>
  <c r="AT25" i="4"/>
  <c r="Y25" i="10"/>
  <c r="V25" i="10"/>
  <c r="U25" i="10"/>
  <c r="H27" i="4"/>
  <c r="H26" i="7"/>
  <c r="AI25" i="7"/>
  <c r="AJ25" i="7" s="1"/>
  <c r="V29" i="1"/>
  <c r="U29" i="1"/>
  <c r="S29" i="1"/>
  <c r="S24" i="9"/>
  <c r="I24" i="9"/>
  <c r="I25" i="10"/>
  <c r="S25" i="10"/>
  <c r="G27" i="4"/>
  <c r="S25" i="12"/>
  <c r="I42" i="7"/>
  <c r="D10" i="8" s="1"/>
  <c r="M10" i="8" s="1"/>
  <c r="K25" i="7"/>
  <c r="E27" i="4"/>
  <c r="J28" i="1"/>
  <c r="K28" i="1" s="1"/>
  <c r="L28" i="1" s="1"/>
  <c r="U28" i="1"/>
  <c r="V28" i="1"/>
  <c r="P28" i="1"/>
  <c r="B27" i="4"/>
  <c r="I26" i="4"/>
  <c r="D27" i="4"/>
  <c r="R29" i="1"/>
  <c r="L25" i="4"/>
  <c r="I43" i="4"/>
  <c r="B11" i="8" s="1"/>
  <c r="K11" i="8" s="1"/>
  <c r="AH26" i="4" l="1"/>
  <c r="AB26" i="4"/>
  <c r="AG26" i="4"/>
  <c r="AE26" i="4"/>
  <c r="AD26" i="4"/>
  <c r="Y25" i="7"/>
  <c r="O35" i="9"/>
  <c r="O36" i="9" s="1"/>
  <c r="O37" i="9"/>
  <c r="AH27" i="18"/>
  <c r="AP27" i="13"/>
  <c r="D35" i="1"/>
  <c r="I34" i="1"/>
  <c r="R34" i="1" s="1"/>
  <c r="Y27" i="1"/>
  <c r="AD24" i="10"/>
  <c r="X29" i="1"/>
  <c r="X28" i="1"/>
  <c r="AQ26" i="14"/>
  <c r="AD24" i="12"/>
  <c r="BJ24" i="10"/>
  <c r="AN24" i="10"/>
  <c r="AB27" i="13"/>
  <c r="AC27" i="13" s="1"/>
  <c r="AH28" i="19"/>
  <c r="AA24" i="12"/>
  <c r="AB24" i="12" s="1"/>
  <c r="AC24" i="12" s="1"/>
  <c r="AH24" i="10"/>
  <c r="AM24" i="12"/>
  <c r="AT27" i="18"/>
  <c r="AY24" i="12"/>
  <c r="BJ27" i="18"/>
  <c r="H28" i="18" s="1"/>
  <c r="Y28" i="18" s="1"/>
  <c r="BK27" i="18"/>
  <c r="BD27" i="18"/>
  <c r="B28" i="18" s="1"/>
  <c r="BA27" i="18"/>
  <c r="AA27" i="18"/>
  <c r="AB27" i="18" s="1"/>
  <c r="AC27" i="18" s="1"/>
  <c r="AD27" i="18"/>
  <c r="AN27" i="18"/>
  <c r="BK28" i="19"/>
  <c r="AA28" i="19"/>
  <c r="AB28" i="19" s="1"/>
  <c r="AC28" i="19" s="1"/>
  <c r="AD28" i="19"/>
  <c r="BA28" i="19"/>
  <c r="BD28" i="19"/>
  <c r="B29" i="19" s="1"/>
  <c r="AA24" i="10"/>
  <c r="AB24" i="10" s="1"/>
  <c r="AC24" i="10" s="1"/>
  <c r="AD23" i="9"/>
  <c r="AY24" i="10"/>
  <c r="AK24" i="10"/>
  <c r="AM24" i="10"/>
  <c r="BI24" i="10"/>
  <c r="AH27" i="14"/>
  <c r="I33" i="1"/>
  <c r="AK24" i="12"/>
  <c r="AJ24" i="12"/>
  <c r="AN24" i="12"/>
  <c r="AO27" i="13"/>
  <c r="H33" i="13"/>
  <c r="Y33" i="13" s="1"/>
  <c r="B29" i="13"/>
  <c r="Z28" i="13"/>
  <c r="E33" i="13"/>
  <c r="V33" i="13" s="1"/>
  <c r="AD27" i="15"/>
  <c r="BB27" i="15"/>
  <c r="AA27" i="15"/>
  <c r="BA27" i="15"/>
  <c r="AM27" i="15"/>
  <c r="AJ27" i="15"/>
  <c r="AK27" i="15"/>
  <c r="AN27" i="15"/>
  <c r="I28" i="15"/>
  <c r="S28" i="15"/>
  <c r="AV29" i="15"/>
  <c r="D30" i="15" s="1"/>
  <c r="U30" i="15" s="1"/>
  <c r="AZ29" i="15"/>
  <c r="H30" i="15" s="1"/>
  <c r="Y30" i="15" s="1"/>
  <c r="AH27" i="15"/>
  <c r="AW29" i="15"/>
  <c r="E30" i="15" s="1"/>
  <c r="V30" i="15" s="1"/>
  <c r="AY29" i="15"/>
  <c r="G30" i="15" s="1"/>
  <c r="X30" i="15" s="1"/>
  <c r="D33" i="13"/>
  <c r="U33" i="13" s="1"/>
  <c r="G33" i="13"/>
  <c r="X33" i="13" s="1"/>
  <c r="BA27" i="14"/>
  <c r="BK27" i="14"/>
  <c r="AD27" i="14"/>
  <c r="AA27" i="14"/>
  <c r="AB27" i="14" s="1"/>
  <c r="AC27" i="14" s="1"/>
  <c r="BJ27" i="14"/>
  <c r="H28" i="14" s="1"/>
  <c r="Y28" i="14" s="1"/>
  <c r="BG27" i="14"/>
  <c r="E28" i="14" s="1"/>
  <c r="V28" i="14" s="1"/>
  <c r="BI27" i="14"/>
  <c r="G28" i="14" s="1"/>
  <c r="X28" i="14" s="1"/>
  <c r="BF27" i="14"/>
  <c r="D28" i="14" s="1"/>
  <c r="U28" i="14" s="1"/>
  <c r="BD27" i="14"/>
  <c r="B28" i="14" s="1"/>
  <c r="AK27" i="14"/>
  <c r="AM27" i="14"/>
  <c r="AN27" i="14"/>
  <c r="AJ27" i="14"/>
  <c r="J28" i="13"/>
  <c r="K28" i="13" s="1"/>
  <c r="L28" i="13" s="1"/>
  <c r="I25" i="12"/>
  <c r="AJ23" i="9"/>
  <c r="AZ24" i="12"/>
  <c r="AK23" i="9"/>
  <c r="AN23" i="9"/>
  <c r="AM23" i="9"/>
  <c r="AA23" i="9"/>
  <c r="AB23" i="9" s="1"/>
  <c r="AC23" i="9" s="1"/>
  <c r="I32" i="1"/>
  <c r="R32" i="1" s="1"/>
  <c r="I31" i="1"/>
  <c r="J31" i="1" s="1"/>
  <c r="K31" i="1" s="1"/>
  <c r="L31" i="1" s="1"/>
  <c r="V30" i="1"/>
  <c r="U30" i="1"/>
  <c r="P30" i="1"/>
  <c r="R30" i="1"/>
  <c r="S30" i="1"/>
  <c r="U26" i="4"/>
  <c r="W29" i="1"/>
  <c r="R26" i="4"/>
  <c r="W28" i="1"/>
  <c r="P26" i="4"/>
  <c r="E26" i="9"/>
  <c r="V26" i="9" s="1"/>
  <c r="Z24" i="9"/>
  <c r="AH24" i="9" s="1"/>
  <c r="B25" i="9"/>
  <c r="I27" i="4"/>
  <c r="H26" i="9"/>
  <c r="Y26" i="9" s="1"/>
  <c r="L25" i="7"/>
  <c r="I43" i="7"/>
  <c r="D11" i="8" s="1"/>
  <c r="M11" i="8" s="1"/>
  <c r="J26" i="4"/>
  <c r="K26" i="4" s="1"/>
  <c r="L26" i="4" s="1"/>
  <c r="AI26" i="4"/>
  <c r="AS26" i="4"/>
  <c r="AT26" i="4" s="1"/>
  <c r="D26" i="9"/>
  <c r="U26" i="9" s="1"/>
  <c r="S26" i="4"/>
  <c r="X26" i="9"/>
  <c r="G27" i="9" s="1"/>
  <c r="Z25" i="10"/>
  <c r="AH25" i="10" s="1"/>
  <c r="I26" i="7"/>
  <c r="V26" i="4"/>
  <c r="Z25" i="12"/>
  <c r="J25" i="10"/>
  <c r="K25" i="10" s="1"/>
  <c r="L25" i="10" s="1"/>
  <c r="J24" i="9"/>
  <c r="U27" i="4" l="1"/>
  <c r="AG27" i="4"/>
  <c r="AB27" i="4"/>
  <c r="AE27" i="4"/>
  <c r="AD27" i="4"/>
  <c r="AQ27" i="13"/>
  <c r="D38" i="1"/>
  <c r="I38" i="1" s="1"/>
  <c r="V26" i="7"/>
  <c r="J25" i="12"/>
  <c r="K25" i="12" s="1"/>
  <c r="L25" i="12" s="1"/>
  <c r="Y28" i="1"/>
  <c r="AP27" i="18"/>
  <c r="AP28" i="19"/>
  <c r="Y29" i="1"/>
  <c r="AP27" i="14"/>
  <c r="X26" i="4"/>
  <c r="X30" i="1"/>
  <c r="J34" i="1"/>
  <c r="K34" i="1" s="1"/>
  <c r="L34" i="1" s="1"/>
  <c r="U34" i="1"/>
  <c r="V34" i="1"/>
  <c r="P34" i="1"/>
  <c r="S34" i="1"/>
  <c r="AP27" i="15"/>
  <c r="I35" i="1"/>
  <c r="R35" i="1" s="1"/>
  <c r="R38" i="1" s="1"/>
  <c r="AO28" i="19"/>
  <c r="AQ28" i="19" s="1"/>
  <c r="AO24" i="10"/>
  <c r="BL28" i="19"/>
  <c r="AO27" i="18"/>
  <c r="AQ27" i="18" s="1"/>
  <c r="BL27" i="18"/>
  <c r="AO24" i="12"/>
  <c r="S29" i="19"/>
  <c r="I29" i="19"/>
  <c r="S28" i="18"/>
  <c r="I28" i="18"/>
  <c r="J33" i="1"/>
  <c r="K33" i="1" s="1"/>
  <c r="L33" i="1" s="1"/>
  <c r="U33" i="1"/>
  <c r="V33" i="1"/>
  <c r="P33" i="1"/>
  <c r="S33" i="1"/>
  <c r="R33" i="1"/>
  <c r="AO27" i="14"/>
  <c r="I28" i="14"/>
  <c r="S28" i="14"/>
  <c r="AT28" i="15"/>
  <c r="B29" i="15" s="1"/>
  <c r="Z28" i="15"/>
  <c r="BF28" i="14"/>
  <c r="D29" i="14" s="1"/>
  <c r="U29" i="14" s="1"/>
  <c r="BL27" i="14"/>
  <c r="AW30" i="15"/>
  <c r="E31" i="15" s="1"/>
  <c r="V31" i="15" s="1"/>
  <c r="J28" i="15"/>
  <c r="K28" i="15" s="1"/>
  <c r="L28" i="15" s="1"/>
  <c r="BI28" i="14"/>
  <c r="G29" i="14" s="1"/>
  <c r="X29" i="14" s="1"/>
  <c r="G34" i="13"/>
  <c r="X34" i="13" s="1"/>
  <c r="G35" i="13" s="1"/>
  <c r="X35" i="13" s="1"/>
  <c r="BG28" i="14"/>
  <c r="E29" i="14" s="1"/>
  <c r="V29" i="14" s="1"/>
  <c r="AO27" i="15"/>
  <c r="E34" i="13"/>
  <c r="V34" i="13" s="1"/>
  <c r="E35" i="13" s="1"/>
  <c r="BJ28" i="14"/>
  <c r="H29" i="14" s="1"/>
  <c r="Y29" i="14" s="1"/>
  <c r="D34" i="13"/>
  <c r="U34" i="13" s="1"/>
  <c r="D35" i="13" s="1"/>
  <c r="U35" i="13" s="1"/>
  <c r="AA28" i="13"/>
  <c r="AD28" i="13"/>
  <c r="AK28" i="13"/>
  <c r="AJ28" i="13"/>
  <c r="AM28" i="13"/>
  <c r="AN28" i="13"/>
  <c r="AZ30" i="15"/>
  <c r="H31" i="15" s="1"/>
  <c r="Y31" i="15" s="1"/>
  <c r="AH28" i="13"/>
  <c r="AV30" i="15"/>
  <c r="D31" i="15" s="1"/>
  <c r="U31" i="15" s="1"/>
  <c r="I29" i="13"/>
  <c r="J29" i="13" s="1"/>
  <c r="K29" i="13" s="1"/>
  <c r="L29" i="13" s="1"/>
  <c r="S29" i="13"/>
  <c r="AY30" i="15"/>
  <c r="G31" i="15" s="1"/>
  <c r="X31" i="15" s="1"/>
  <c r="AB27" i="15"/>
  <c r="AC27" i="15" s="1"/>
  <c r="H34" i="13"/>
  <c r="Y34" i="13" s="1"/>
  <c r="H35" i="13" s="1"/>
  <c r="Y35" i="13" s="1"/>
  <c r="AO23" i="9"/>
  <c r="J32" i="1"/>
  <c r="K32" i="1" s="1"/>
  <c r="L32" i="1" s="1"/>
  <c r="V32" i="1"/>
  <c r="U32" i="1"/>
  <c r="P32" i="1"/>
  <c r="S32" i="1"/>
  <c r="S31" i="1"/>
  <c r="P31" i="1"/>
  <c r="R31" i="1"/>
  <c r="U31" i="1"/>
  <c r="V31" i="1"/>
  <c r="W30" i="1"/>
  <c r="R27" i="4"/>
  <c r="S27" i="4"/>
  <c r="V27" i="4"/>
  <c r="P27" i="4"/>
  <c r="W26" i="4"/>
  <c r="K24" i="9"/>
  <c r="I40" i="9"/>
  <c r="AA25" i="12"/>
  <c r="AX25" i="12"/>
  <c r="H26" i="12" s="1"/>
  <c r="AD25" i="12"/>
  <c r="AY25" i="12"/>
  <c r="AJ25" i="12"/>
  <c r="AN25" i="12"/>
  <c r="AM25" i="12"/>
  <c r="AK25" i="12"/>
  <c r="X27" i="9"/>
  <c r="G28" i="9" s="1"/>
  <c r="X28" i="9" s="1"/>
  <c r="AY25" i="10"/>
  <c r="AA25" i="10"/>
  <c r="AD25" i="10"/>
  <c r="BI25" i="10"/>
  <c r="BE25" i="10"/>
  <c r="E26" i="10" s="1"/>
  <c r="V26" i="10" s="1"/>
  <c r="BH25" i="10"/>
  <c r="H26" i="10" s="1"/>
  <c r="Y26" i="10" s="1"/>
  <c r="BG25" i="10"/>
  <c r="G26" i="10" s="1"/>
  <c r="X26" i="10" s="1"/>
  <c r="BD25" i="10"/>
  <c r="D26" i="10" s="1"/>
  <c r="U26" i="10" s="1"/>
  <c r="BB25" i="10"/>
  <c r="B26" i="10" s="1"/>
  <c r="AK25" i="10"/>
  <c r="AJ25" i="10"/>
  <c r="AN25" i="10"/>
  <c r="AM25" i="10"/>
  <c r="H27" i="9"/>
  <c r="Y27" i="9" s="1"/>
  <c r="AS27" i="4"/>
  <c r="AI27" i="4"/>
  <c r="J27" i="4"/>
  <c r="K27" i="4" s="1"/>
  <c r="L27" i="4" s="1"/>
  <c r="S25" i="9"/>
  <c r="I25" i="9"/>
  <c r="D27" i="9"/>
  <c r="U27" i="9" s="1"/>
  <c r="E27" i="9"/>
  <c r="V27" i="9" s="1"/>
  <c r="J26" i="7"/>
  <c r="K26" i="7" s="1"/>
  <c r="L26" i="7" s="1"/>
  <c r="AE26" i="7"/>
  <c r="E27" i="7" s="1"/>
  <c r="R26" i="7"/>
  <c r="AG26" i="7"/>
  <c r="G27" i="7" s="1"/>
  <c r="AD26" i="7"/>
  <c r="D27" i="7" s="1"/>
  <c r="AB26" i="7"/>
  <c r="AH26" i="7"/>
  <c r="H27" i="7" s="1"/>
  <c r="S26" i="7"/>
  <c r="P26" i="7"/>
  <c r="U26" i="7"/>
  <c r="AH25" i="12"/>
  <c r="AA24" i="9"/>
  <c r="AD24" i="9"/>
  <c r="AM24" i="9"/>
  <c r="AN24" i="9"/>
  <c r="AJ24" i="9"/>
  <c r="AK24" i="9"/>
  <c r="U38" i="13" l="1"/>
  <c r="D38" i="13"/>
  <c r="I46" i="1"/>
  <c r="G38" i="13"/>
  <c r="X38" i="13"/>
  <c r="I45" i="1"/>
  <c r="I44" i="1"/>
  <c r="Y38" i="13"/>
  <c r="H38" i="13"/>
  <c r="X27" i="4"/>
  <c r="X32" i="1"/>
  <c r="Y26" i="4"/>
  <c r="AQ27" i="14"/>
  <c r="X33" i="1"/>
  <c r="AQ27" i="15"/>
  <c r="X26" i="7"/>
  <c r="X31" i="1"/>
  <c r="AP28" i="13"/>
  <c r="J35" i="1"/>
  <c r="K35" i="1" s="1"/>
  <c r="L35" i="1" s="1"/>
  <c r="U35" i="1"/>
  <c r="U38" i="1" s="1"/>
  <c r="V35" i="1"/>
  <c r="V38" i="1" s="1"/>
  <c r="I48" i="1" s="1"/>
  <c r="P35" i="1"/>
  <c r="S35" i="1"/>
  <c r="X34" i="1"/>
  <c r="W34" i="1"/>
  <c r="Y30" i="1"/>
  <c r="V35" i="13"/>
  <c r="AB28" i="13"/>
  <c r="AC28" i="13" s="1"/>
  <c r="J28" i="18"/>
  <c r="K28" i="18" s="1"/>
  <c r="L28" i="18" s="1"/>
  <c r="Z28" i="18"/>
  <c r="AZ28" i="18" s="1"/>
  <c r="J29" i="19"/>
  <c r="K29" i="19" s="1"/>
  <c r="L29" i="19" s="1"/>
  <c r="Z29" i="19"/>
  <c r="AT29" i="19" s="1"/>
  <c r="W33" i="1"/>
  <c r="BD28" i="14"/>
  <c r="B29" i="14" s="1"/>
  <c r="Z28" i="14"/>
  <c r="AV31" i="15"/>
  <c r="D32" i="15" s="1"/>
  <c r="U32" i="15" s="1"/>
  <c r="J28" i="14"/>
  <c r="K28" i="14" s="1"/>
  <c r="L28" i="14" s="1"/>
  <c r="BI29" i="14"/>
  <c r="G30" i="14" s="1"/>
  <c r="X30" i="14" s="1"/>
  <c r="AO28" i="13"/>
  <c r="AZ31" i="15"/>
  <c r="H32" i="15" s="1"/>
  <c r="Y32" i="15" s="1"/>
  <c r="BF29" i="14"/>
  <c r="D30" i="14" s="1"/>
  <c r="U30" i="14" s="1"/>
  <c r="AY31" i="15"/>
  <c r="G32" i="15" s="1"/>
  <c r="X32" i="15" s="1"/>
  <c r="BB28" i="15"/>
  <c r="BA28" i="15"/>
  <c r="AA28" i="15"/>
  <c r="AD28" i="15"/>
  <c r="AM28" i="15"/>
  <c r="AN28" i="15"/>
  <c r="AK28" i="15"/>
  <c r="AJ28" i="15"/>
  <c r="S29" i="15"/>
  <c r="I29" i="15"/>
  <c r="J29" i="15" s="1"/>
  <c r="K29" i="15" s="1"/>
  <c r="L29" i="15" s="1"/>
  <c r="Z29" i="13"/>
  <c r="AH29" i="13" s="1"/>
  <c r="B30" i="13"/>
  <c r="BJ29" i="14"/>
  <c r="H30" i="14" s="1"/>
  <c r="Y30" i="14" s="1"/>
  <c r="BG29" i="14"/>
  <c r="E30" i="14" s="1"/>
  <c r="V30" i="14" s="1"/>
  <c r="AW31" i="15"/>
  <c r="E32" i="15" s="1"/>
  <c r="V32" i="15" s="1"/>
  <c r="AH28" i="15"/>
  <c r="W32" i="1"/>
  <c r="Y32" i="1" s="1"/>
  <c r="W31" i="1"/>
  <c r="W27" i="4"/>
  <c r="AB24" i="9"/>
  <c r="AC24" i="9" s="1"/>
  <c r="C6" i="8"/>
  <c r="L6" i="8" s="1"/>
  <c r="G29" i="9"/>
  <c r="X29" i="9" s="1"/>
  <c r="I39" i="1"/>
  <c r="AZ25" i="12"/>
  <c r="AO25" i="10"/>
  <c r="AO24" i="9"/>
  <c r="W26" i="7"/>
  <c r="AO25" i="12"/>
  <c r="AH27" i="7"/>
  <c r="H28" i="7" s="1"/>
  <c r="AG27" i="7"/>
  <c r="G28" i="7" s="1"/>
  <c r="BH26" i="10"/>
  <c r="H27" i="10" s="1"/>
  <c r="Y27" i="10" s="1"/>
  <c r="BJ25" i="10"/>
  <c r="L24" i="9"/>
  <c r="I41" i="9"/>
  <c r="AD27" i="7"/>
  <c r="D28" i="7" s="1"/>
  <c r="E28" i="9"/>
  <c r="V28" i="9" s="1"/>
  <c r="J25" i="9"/>
  <c r="K25" i="9" s="1"/>
  <c r="L25" i="9" s="1"/>
  <c r="S26" i="10"/>
  <c r="I26" i="10"/>
  <c r="BE26" i="10"/>
  <c r="E27" i="10" s="1"/>
  <c r="V27" i="10" s="1"/>
  <c r="I42" i="10"/>
  <c r="AB25" i="10"/>
  <c r="Y26" i="12"/>
  <c r="I26" i="12"/>
  <c r="AI26" i="7"/>
  <c r="AJ26" i="7" s="1"/>
  <c r="B27" i="7"/>
  <c r="AE27" i="7"/>
  <c r="E28" i="7" s="1"/>
  <c r="B26" i="9"/>
  <c r="Z25" i="9"/>
  <c r="AH25" i="9" s="1"/>
  <c r="E28" i="4"/>
  <c r="D28" i="4"/>
  <c r="G28" i="4"/>
  <c r="B28" i="4"/>
  <c r="H28" i="4"/>
  <c r="BD26" i="10"/>
  <c r="D27" i="10" s="1"/>
  <c r="U27" i="10" s="1"/>
  <c r="I42" i="12"/>
  <c r="AB25" i="12"/>
  <c r="D28" i="9"/>
  <c r="U28" i="9" s="1"/>
  <c r="H28" i="9"/>
  <c r="Y28" i="9" s="1"/>
  <c r="BG26" i="10"/>
  <c r="G27" i="10" s="1"/>
  <c r="X27" i="10" s="1"/>
  <c r="Y27" i="4" l="1"/>
  <c r="Y33" i="1"/>
  <c r="E38" i="13"/>
  <c r="V38" i="13"/>
  <c r="I40" i="1"/>
  <c r="C8" i="8" s="1"/>
  <c r="L8" i="8" s="1"/>
  <c r="Y31" i="1"/>
  <c r="Y34" i="1"/>
  <c r="Y26" i="7"/>
  <c r="AP28" i="15"/>
  <c r="AQ28" i="13"/>
  <c r="X35" i="1"/>
  <c r="X38" i="1" s="1"/>
  <c r="I47" i="1" s="1"/>
  <c r="P38" i="1"/>
  <c r="W35" i="1"/>
  <c r="V40" i="1"/>
  <c r="C13" i="8"/>
  <c r="L13" i="8" s="1"/>
  <c r="AH29" i="19"/>
  <c r="AH28" i="18"/>
  <c r="AT28" i="18"/>
  <c r="BJ28" i="18"/>
  <c r="H29" i="18" s="1"/>
  <c r="Y29" i="18" s="1"/>
  <c r="BA28" i="18"/>
  <c r="AA28" i="18"/>
  <c r="AB28" i="18" s="1"/>
  <c r="AC28" i="18" s="1"/>
  <c r="BD28" i="18"/>
  <c r="B29" i="18" s="1"/>
  <c r="AD28" i="18"/>
  <c r="BK28" i="18"/>
  <c r="AN28" i="18"/>
  <c r="AD29" i="19"/>
  <c r="AA29" i="19"/>
  <c r="AB29" i="19" s="1"/>
  <c r="AC29" i="19" s="1"/>
  <c r="BK29" i="19"/>
  <c r="BA29" i="19"/>
  <c r="BD29" i="19"/>
  <c r="B30" i="19" s="1"/>
  <c r="BG30" i="14"/>
  <c r="E31" i="14" s="1"/>
  <c r="V31" i="14" s="1"/>
  <c r="BF30" i="14"/>
  <c r="D31" i="14" s="1"/>
  <c r="U31" i="14" s="1"/>
  <c r="Z29" i="15"/>
  <c r="AH29" i="15" s="1"/>
  <c r="AT29" i="15"/>
  <c r="B30" i="15" s="1"/>
  <c r="BI30" i="14"/>
  <c r="G31" i="14" s="1"/>
  <c r="X31" i="14" s="1"/>
  <c r="AV32" i="15"/>
  <c r="D33" i="15" s="1"/>
  <c r="U33" i="15" s="1"/>
  <c r="AB28" i="15"/>
  <c r="AC28" i="15" s="1"/>
  <c r="AD28" i="14"/>
  <c r="BL28" i="14"/>
  <c r="BA28" i="14"/>
  <c r="BK28" i="14"/>
  <c r="AA28" i="14"/>
  <c r="AB28" i="14" s="1"/>
  <c r="AC28" i="14" s="1"/>
  <c r="AK28" i="14"/>
  <c r="AM28" i="14"/>
  <c r="AJ28" i="14"/>
  <c r="AN28" i="14"/>
  <c r="AZ32" i="15"/>
  <c r="H33" i="15" s="1"/>
  <c r="Y33" i="15" s="1"/>
  <c r="AH28" i="14"/>
  <c r="AO28" i="15"/>
  <c r="AQ28" i="15" s="1"/>
  <c r="BJ30" i="14"/>
  <c r="H31" i="14" s="1"/>
  <c r="Y31" i="14" s="1"/>
  <c r="S29" i="14"/>
  <c r="I29" i="14"/>
  <c r="J29" i="14" s="1"/>
  <c r="K29" i="14" s="1"/>
  <c r="L29" i="14" s="1"/>
  <c r="S30" i="13"/>
  <c r="I30" i="13"/>
  <c r="J30" i="13" s="1"/>
  <c r="K30" i="13" s="1"/>
  <c r="L30" i="13" s="1"/>
  <c r="AY32" i="15"/>
  <c r="G33" i="15" s="1"/>
  <c r="X33" i="15" s="1"/>
  <c r="AW32" i="15"/>
  <c r="E33" i="15" s="1"/>
  <c r="V33" i="15" s="1"/>
  <c r="AD29" i="13"/>
  <c r="AA29" i="13"/>
  <c r="AJ29" i="13"/>
  <c r="AM29" i="13"/>
  <c r="AK29" i="13"/>
  <c r="AN29" i="13"/>
  <c r="J26" i="12"/>
  <c r="K26" i="12" s="1"/>
  <c r="L26" i="12" s="1"/>
  <c r="I41" i="1"/>
  <c r="C9" i="8" s="1"/>
  <c r="L9" i="8" s="1"/>
  <c r="C7" i="8"/>
  <c r="L7" i="8" s="1"/>
  <c r="AE28" i="7"/>
  <c r="E29" i="7" s="1"/>
  <c r="AE29" i="7" s="1"/>
  <c r="E30" i="7" s="1"/>
  <c r="AG28" i="7"/>
  <c r="G29" i="7" s="1"/>
  <c r="AG29" i="7" s="1"/>
  <c r="G30" i="7" s="1"/>
  <c r="AH28" i="7"/>
  <c r="H29" i="7" s="1"/>
  <c r="AH29" i="7" s="1"/>
  <c r="H30" i="7" s="1"/>
  <c r="AD28" i="7"/>
  <c r="D29" i="7" s="1"/>
  <c r="AD29" i="7" s="1"/>
  <c r="D30" i="7" s="1"/>
  <c r="D29" i="9"/>
  <c r="U29" i="9" s="1"/>
  <c r="H29" i="9"/>
  <c r="Y29" i="9" s="1"/>
  <c r="E29" i="9"/>
  <c r="V29" i="9" s="1"/>
  <c r="G30" i="9"/>
  <c r="X30" i="9" s="1"/>
  <c r="G31" i="9" s="1"/>
  <c r="X31" i="9" s="1"/>
  <c r="G32" i="9" s="1"/>
  <c r="X32" i="9" s="1"/>
  <c r="G33" i="9" s="1"/>
  <c r="X33" i="9" s="1"/>
  <c r="I43" i="12"/>
  <c r="AC25" i="12"/>
  <c r="AN28" i="4"/>
  <c r="D29" i="4" s="1"/>
  <c r="AD25" i="9"/>
  <c r="AA25" i="9"/>
  <c r="AK25" i="9"/>
  <c r="AM25" i="9"/>
  <c r="AN25" i="9"/>
  <c r="AJ25" i="9"/>
  <c r="AB27" i="7"/>
  <c r="I27" i="7"/>
  <c r="BB26" i="10"/>
  <c r="B27" i="10" s="1"/>
  <c r="Z26" i="10"/>
  <c r="AR28" i="4"/>
  <c r="H29" i="4" s="1"/>
  <c r="AO28" i="4"/>
  <c r="E29" i="4" s="1"/>
  <c r="S26" i="9"/>
  <c r="I26" i="9"/>
  <c r="I42" i="9"/>
  <c r="I45" i="9" s="1"/>
  <c r="I28" i="4"/>
  <c r="AB28" i="4" s="1"/>
  <c r="AL28" i="4"/>
  <c r="B29" i="4" s="1"/>
  <c r="AT27" i="4"/>
  <c r="I43" i="10"/>
  <c r="AC25" i="10"/>
  <c r="AQ28" i="4"/>
  <c r="G29" i="4" s="1"/>
  <c r="Z26" i="12"/>
  <c r="AN26" i="12" s="1"/>
  <c r="J26" i="10"/>
  <c r="K26" i="10" s="1"/>
  <c r="L26" i="10" s="1"/>
  <c r="AG28" i="4" l="1"/>
  <c r="AH28" i="4"/>
  <c r="AE28" i="4"/>
  <c r="AD28" i="4"/>
  <c r="P27" i="7"/>
  <c r="AP29" i="13"/>
  <c r="AP28" i="14"/>
  <c r="AP28" i="18"/>
  <c r="X40" i="1"/>
  <c r="C12" i="8"/>
  <c r="L12" i="8" s="1"/>
  <c r="AP29" i="19"/>
  <c r="Y35" i="1"/>
  <c r="Y38" i="1" s="1"/>
  <c r="W38" i="1"/>
  <c r="G34" i="9"/>
  <c r="X34" i="9" s="1"/>
  <c r="G35" i="9" s="1"/>
  <c r="X35" i="9" s="1"/>
  <c r="AB29" i="13"/>
  <c r="AC29" i="13" s="1"/>
  <c r="AO29" i="19"/>
  <c r="AO28" i="18"/>
  <c r="BL29" i="19"/>
  <c r="S29" i="18"/>
  <c r="I29" i="18"/>
  <c r="S30" i="19"/>
  <c r="I30" i="19"/>
  <c r="BL28" i="18"/>
  <c r="AO29" i="13"/>
  <c r="AO28" i="14"/>
  <c r="I30" i="15"/>
  <c r="J30" i="15" s="1"/>
  <c r="K30" i="15" s="1"/>
  <c r="L30" i="15" s="1"/>
  <c r="S30" i="15"/>
  <c r="Z30" i="13"/>
  <c r="B31" i="13"/>
  <c r="AD29" i="15"/>
  <c r="AA29" i="15"/>
  <c r="AB29" i="15" s="1"/>
  <c r="AC29" i="15" s="1"/>
  <c r="BB29" i="15"/>
  <c r="BA29" i="15"/>
  <c r="AJ29" i="15"/>
  <c r="AM29" i="15"/>
  <c r="AN29" i="15"/>
  <c r="AK29" i="15"/>
  <c r="AZ33" i="15"/>
  <c r="H34" i="15" s="1"/>
  <c r="Y34" i="15" s="1"/>
  <c r="AW33" i="15"/>
  <c r="E34" i="15" s="1"/>
  <c r="Z29" i="14"/>
  <c r="BD29" i="14"/>
  <c r="B30" i="14" s="1"/>
  <c r="AV33" i="15"/>
  <c r="D34" i="15" s="1"/>
  <c r="U34" i="15" s="1"/>
  <c r="AY33" i="15"/>
  <c r="G34" i="15" s="1"/>
  <c r="X34" i="15" s="1"/>
  <c r="AB25" i="9"/>
  <c r="AC25" i="9" s="1"/>
  <c r="AN29" i="4"/>
  <c r="D30" i="4" s="1"/>
  <c r="AO29" i="4"/>
  <c r="E30" i="4" s="1"/>
  <c r="AR29" i="4"/>
  <c r="H30" i="4" s="1"/>
  <c r="I29" i="4"/>
  <c r="R29" i="4" s="1"/>
  <c r="AL29" i="4"/>
  <c r="B30" i="4" s="1"/>
  <c r="AQ29" i="4"/>
  <c r="G30" i="4" s="1"/>
  <c r="H30" i="9"/>
  <c r="Y30" i="9" s="1"/>
  <c r="H31" i="9" s="1"/>
  <c r="Y31" i="9" s="1"/>
  <c r="H32" i="9" s="1"/>
  <c r="Y32" i="9" s="1"/>
  <c r="H33" i="9" s="1"/>
  <c r="Y33" i="9" s="1"/>
  <c r="D30" i="9"/>
  <c r="U30" i="9" s="1"/>
  <c r="D31" i="9" s="1"/>
  <c r="U31" i="9" s="1"/>
  <c r="D32" i="9" s="1"/>
  <c r="E30" i="9"/>
  <c r="V30" i="9" s="1"/>
  <c r="E31" i="9" s="1"/>
  <c r="V31" i="9" s="1"/>
  <c r="E32" i="9" s="1"/>
  <c r="V32" i="9" s="1"/>
  <c r="E33" i="9" s="1"/>
  <c r="V33" i="9" s="1"/>
  <c r="AD30" i="7"/>
  <c r="D31" i="7" s="1"/>
  <c r="AG30" i="7"/>
  <c r="G31" i="7" s="1"/>
  <c r="AE30" i="7"/>
  <c r="E31" i="7" s="1"/>
  <c r="AH30" i="7"/>
  <c r="H31" i="7" s="1"/>
  <c r="AO25" i="9"/>
  <c r="U28" i="4"/>
  <c r="P28" i="4"/>
  <c r="Z26" i="9"/>
  <c r="AH26" i="9" s="1"/>
  <c r="B27" i="9"/>
  <c r="I27" i="10"/>
  <c r="S27" i="10"/>
  <c r="B28" i="7"/>
  <c r="AI27" i="7"/>
  <c r="AJ27" i="7" s="1"/>
  <c r="S28" i="4"/>
  <c r="V28" i="4"/>
  <c r="BI26" i="10"/>
  <c r="AA26" i="10"/>
  <c r="AB26" i="10" s="1"/>
  <c r="AC26" i="10" s="1"/>
  <c r="AY26" i="10"/>
  <c r="AD26" i="10"/>
  <c r="BJ26" i="10"/>
  <c r="AN26" i="10"/>
  <c r="AJ26" i="10"/>
  <c r="AK26" i="10"/>
  <c r="AM26" i="10"/>
  <c r="AH26" i="10"/>
  <c r="AR26" i="12"/>
  <c r="B27" i="12" s="1"/>
  <c r="AT26" i="12"/>
  <c r="D27" i="12" s="1"/>
  <c r="U27" i="12" s="1"/>
  <c r="AU26" i="12"/>
  <c r="E27" i="12" s="1"/>
  <c r="V27" i="12" s="1"/>
  <c r="AX26" i="12"/>
  <c r="H27" i="12" s="1"/>
  <c r="Y27" i="12" s="1"/>
  <c r="AK26" i="12"/>
  <c r="AA26" i="12"/>
  <c r="AB26" i="12" s="1"/>
  <c r="AC26" i="12" s="1"/>
  <c r="AJ26" i="12"/>
  <c r="AD26" i="12"/>
  <c r="AW26" i="12"/>
  <c r="G27" i="12" s="1"/>
  <c r="X27" i="12" s="1"/>
  <c r="AH26" i="12"/>
  <c r="AM26" i="12"/>
  <c r="AY26" i="12"/>
  <c r="AS28" i="4"/>
  <c r="AT28" i="4" s="1"/>
  <c r="AI28" i="4"/>
  <c r="J28" i="4"/>
  <c r="K28" i="4" s="1"/>
  <c r="L28" i="4" s="1"/>
  <c r="J26" i="9"/>
  <c r="K26" i="9" s="1"/>
  <c r="L26" i="9" s="1"/>
  <c r="J27" i="7"/>
  <c r="K27" i="7" s="1"/>
  <c r="L27" i="7" s="1"/>
  <c r="S27" i="7"/>
  <c r="U27" i="7"/>
  <c r="V27" i="7"/>
  <c r="R27" i="7"/>
  <c r="R28" i="4"/>
  <c r="AG29" i="4" l="1"/>
  <c r="AH29" i="4"/>
  <c r="AE29" i="4"/>
  <c r="AD29" i="4"/>
  <c r="AB29" i="4"/>
  <c r="AQ29" i="13"/>
  <c r="G36" i="9"/>
  <c r="X36" i="9"/>
  <c r="C14" i="8"/>
  <c r="AQ28" i="14"/>
  <c r="X27" i="7"/>
  <c r="AQ28" i="18"/>
  <c r="AQ29" i="19"/>
  <c r="AP29" i="15"/>
  <c r="X28" i="4"/>
  <c r="E34" i="9"/>
  <c r="V34" i="9" s="1"/>
  <c r="E35" i="9" s="1"/>
  <c r="V35" i="9" s="1"/>
  <c r="H34" i="9"/>
  <c r="Y34" i="9" s="1"/>
  <c r="H35" i="9" s="1"/>
  <c r="Y35" i="9" s="1"/>
  <c r="AY34" i="15"/>
  <c r="G35" i="15" s="1"/>
  <c r="X35" i="15" s="1"/>
  <c r="V34" i="15"/>
  <c r="AV34" i="15"/>
  <c r="D35" i="15" s="1"/>
  <c r="U35" i="15" s="1"/>
  <c r="AZ34" i="15"/>
  <c r="H35" i="15" s="1"/>
  <c r="Y35" i="15" s="1"/>
  <c r="AH29" i="14"/>
  <c r="J30" i="19"/>
  <c r="K30" i="19" s="1"/>
  <c r="L30" i="19" s="1"/>
  <c r="Z30" i="19"/>
  <c r="J29" i="18"/>
  <c r="K29" i="18" s="1"/>
  <c r="L29" i="18" s="1"/>
  <c r="Z29" i="18"/>
  <c r="AZ29" i="18" s="1"/>
  <c r="U32" i="9"/>
  <c r="D33" i="9" s="1"/>
  <c r="U33" i="9" s="1"/>
  <c r="AO29" i="15"/>
  <c r="S30" i="14"/>
  <c r="I30" i="14"/>
  <c r="J30" i="14" s="1"/>
  <c r="K30" i="14" s="1"/>
  <c r="L30" i="14" s="1"/>
  <c r="I31" i="13"/>
  <c r="J31" i="13" s="1"/>
  <c r="K31" i="13" s="1"/>
  <c r="L31" i="13" s="1"/>
  <c r="S31" i="13"/>
  <c r="AD30" i="13"/>
  <c r="AA30" i="13"/>
  <c r="AB30" i="13" s="1"/>
  <c r="AC30" i="13" s="1"/>
  <c r="AM30" i="13"/>
  <c r="AN30" i="13"/>
  <c r="AK30" i="13"/>
  <c r="AJ30" i="13"/>
  <c r="AH30" i="13"/>
  <c r="BL29" i="14"/>
  <c r="AA29" i="14"/>
  <c r="AB29" i="14" s="1"/>
  <c r="AC29" i="14" s="1"/>
  <c r="BK29" i="14"/>
  <c r="AD29" i="14"/>
  <c r="BA29" i="14"/>
  <c r="AN29" i="14"/>
  <c r="AJ29" i="14"/>
  <c r="AK29" i="14"/>
  <c r="AM29" i="14"/>
  <c r="AT30" i="15"/>
  <c r="B31" i="15" s="1"/>
  <c r="Z30" i="15"/>
  <c r="AH30" i="15" s="1"/>
  <c r="V29" i="4"/>
  <c r="U29" i="4"/>
  <c r="P29" i="4"/>
  <c r="S29" i="4"/>
  <c r="AI29" i="4"/>
  <c r="AS29" i="4"/>
  <c r="AT29" i="4" s="1"/>
  <c r="J29" i="4"/>
  <c r="K29" i="4" s="1"/>
  <c r="L29" i="4" s="1"/>
  <c r="AB28" i="7"/>
  <c r="AI28" i="7" s="1"/>
  <c r="I30" i="4"/>
  <c r="AE30" i="4" s="1"/>
  <c r="AH31" i="7"/>
  <c r="H32" i="7" s="1"/>
  <c r="AG31" i="7"/>
  <c r="G32" i="7" s="1"/>
  <c r="AE31" i="7"/>
  <c r="E32" i="7" s="1"/>
  <c r="AD31" i="7"/>
  <c r="D32" i="7" s="1"/>
  <c r="W27" i="7"/>
  <c r="Y27" i="7" s="1"/>
  <c r="W28" i="4"/>
  <c r="AO26" i="10"/>
  <c r="AW27" i="12"/>
  <c r="G28" i="12" s="1"/>
  <c r="X28" i="12" s="1"/>
  <c r="S27" i="12"/>
  <c r="I27" i="12"/>
  <c r="AX27" i="12"/>
  <c r="H28" i="12" s="1"/>
  <c r="Y28" i="12" s="1"/>
  <c r="I28" i="7"/>
  <c r="AO26" i="12"/>
  <c r="AU27" i="12"/>
  <c r="E28" i="12" s="1"/>
  <c r="V28" i="12" s="1"/>
  <c r="Z27" i="10"/>
  <c r="AH27" i="10" s="1"/>
  <c r="S27" i="9"/>
  <c r="I27" i="9"/>
  <c r="AZ26" i="12"/>
  <c r="AT27" i="12"/>
  <c r="D28" i="12" s="1"/>
  <c r="U28" i="12" s="1"/>
  <c r="J27" i="10"/>
  <c r="K27" i="10" s="1"/>
  <c r="L27" i="10" s="1"/>
  <c r="AA26" i="9"/>
  <c r="AD26" i="9"/>
  <c r="AJ26" i="9"/>
  <c r="AM26" i="9"/>
  <c r="AN26" i="9"/>
  <c r="AK26" i="9"/>
  <c r="AD30" i="4" l="1"/>
  <c r="AG30" i="4"/>
  <c r="AB30" i="4"/>
  <c r="AH30" i="4"/>
  <c r="H36" i="9"/>
  <c r="Y36" i="9"/>
  <c r="V36" i="9"/>
  <c r="E36" i="9"/>
  <c r="P28" i="7"/>
  <c r="AP30" i="13"/>
  <c r="AQ29" i="15"/>
  <c r="X29" i="4"/>
  <c r="Y28" i="4"/>
  <c r="AP29" i="14"/>
  <c r="D34" i="9"/>
  <c r="U34" i="9" s="1"/>
  <c r="D35" i="9" s="1"/>
  <c r="U35" i="9" s="1"/>
  <c r="AZ35" i="15"/>
  <c r="AW34" i="15"/>
  <c r="E35" i="15" s="1"/>
  <c r="V35" i="15" s="1"/>
  <c r="AV35" i="15"/>
  <c r="AY35" i="15"/>
  <c r="AT29" i="18"/>
  <c r="BK29" i="18"/>
  <c r="BD29" i="18"/>
  <c r="B30" i="18" s="1"/>
  <c r="BJ29" i="18"/>
  <c r="H30" i="18" s="1"/>
  <c r="Y30" i="18" s="1"/>
  <c r="AA29" i="18"/>
  <c r="AB29" i="18" s="1"/>
  <c r="AC29" i="18" s="1"/>
  <c r="BA29" i="18"/>
  <c r="AD29" i="18"/>
  <c r="AN29" i="18"/>
  <c r="AH30" i="19"/>
  <c r="BD30" i="19"/>
  <c r="B31" i="19" s="1"/>
  <c r="AD30" i="19"/>
  <c r="BK30" i="19"/>
  <c r="AA30" i="19"/>
  <c r="AB30" i="19" s="1"/>
  <c r="AC30" i="19" s="1"/>
  <c r="BA30" i="19"/>
  <c r="AT30" i="19"/>
  <c r="AH29" i="18"/>
  <c r="AO29" i="14"/>
  <c r="BA30" i="15"/>
  <c r="AA30" i="15"/>
  <c r="AB30" i="15" s="1"/>
  <c r="AC30" i="15" s="1"/>
  <c r="BB30" i="15"/>
  <c r="AD30" i="15"/>
  <c r="AM30" i="15"/>
  <c r="AN30" i="15"/>
  <c r="AJ30" i="15"/>
  <c r="AK30" i="15"/>
  <c r="AO30" i="13"/>
  <c r="AQ30" i="13" s="1"/>
  <c r="Z31" i="13"/>
  <c r="AH31" i="13" s="1"/>
  <c r="B32" i="13"/>
  <c r="I31" i="15"/>
  <c r="J31" i="15" s="1"/>
  <c r="K31" i="15" s="1"/>
  <c r="L31" i="15" s="1"/>
  <c r="S31" i="15"/>
  <c r="Z30" i="14"/>
  <c r="AH30" i="14" s="1"/>
  <c r="BD30" i="14"/>
  <c r="B31" i="14" s="1"/>
  <c r="AE32" i="7"/>
  <c r="E33" i="7" s="1"/>
  <c r="AD32" i="7"/>
  <c r="D33" i="7" s="1"/>
  <c r="J27" i="12"/>
  <c r="K27" i="12" s="1"/>
  <c r="L27" i="12" s="1"/>
  <c r="AG32" i="7"/>
  <c r="G33" i="7" s="1"/>
  <c r="AH32" i="7"/>
  <c r="H33" i="7" s="1"/>
  <c r="AB26" i="9"/>
  <c r="AC26" i="9" s="1"/>
  <c r="AJ28" i="7"/>
  <c r="W29" i="4"/>
  <c r="S28" i="7"/>
  <c r="R28" i="7"/>
  <c r="U28" i="7"/>
  <c r="V28" i="7"/>
  <c r="B29" i="7"/>
  <c r="I29" i="7" s="1"/>
  <c r="AI30" i="4"/>
  <c r="AS30" i="4"/>
  <c r="P30" i="4"/>
  <c r="S30" i="4"/>
  <c r="R30" i="4"/>
  <c r="U30" i="4"/>
  <c r="J30" i="4"/>
  <c r="K30" i="4" s="1"/>
  <c r="L30" i="4" s="1"/>
  <c r="AO26" i="9"/>
  <c r="J27" i="9"/>
  <c r="K27" i="9" s="1"/>
  <c r="L27" i="9" s="1"/>
  <c r="AU28" i="12"/>
  <c r="E29" i="12" s="1"/>
  <c r="J28" i="7"/>
  <c r="K28" i="7" s="1"/>
  <c r="L28" i="7" s="1"/>
  <c r="AR27" i="12"/>
  <c r="B28" i="12" s="1"/>
  <c r="Z27" i="12"/>
  <c r="Z27" i="9"/>
  <c r="AH27" i="9" s="1"/>
  <c r="B28" i="9"/>
  <c r="S28" i="9" s="1"/>
  <c r="AX28" i="12"/>
  <c r="H29" i="12" s="1"/>
  <c r="Y29" i="12" s="1"/>
  <c r="AW28" i="12"/>
  <c r="G29" i="12" s="1"/>
  <c r="X29" i="12" s="1"/>
  <c r="AT28" i="12"/>
  <c r="D29" i="12" s="1"/>
  <c r="U29" i="12" s="1"/>
  <c r="AA27" i="10"/>
  <c r="AB27" i="10" s="1"/>
  <c r="AC27" i="10" s="1"/>
  <c r="AD27" i="10"/>
  <c r="AY27" i="10"/>
  <c r="BI27" i="10"/>
  <c r="BG27" i="10"/>
  <c r="G28" i="10" s="1"/>
  <c r="X28" i="10" s="1"/>
  <c r="BE27" i="10"/>
  <c r="E28" i="10" s="1"/>
  <c r="V28" i="10" s="1"/>
  <c r="BH27" i="10"/>
  <c r="H28" i="10" s="1"/>
  <c r="Y28" i="10" s="1"/>
  <c r="BD27" i="10"/>
  <c r="D28" i="10" s="1"/>
  <c r="U28" i="10" s="1"/>
  <c r="BB27" i="10"/>
  <c r="B28" i="10" s="1"/>
  <c r="AK27" i="10"/>
  <c r="AM27" i="10"/>
  <c r="AJ27" i="10"/>
  <c r="AN27" i="10"/>
  <c r="Y38" i="15" l="1"/>
  <c r="AZ38" i="15"/>
  <c r="H38" i="15" s="1"/>
  <c r="X38" i="15"/>
  <c r="AY38" i="15"/>
  <c r="G38" i="15" s="1"/>
  <c r="D36" i="9"/>
  <c r="U36" i="9"/>
  <c r="U38" i="15"/>
  <c r="AV38" i="15"/>
  <c r="D38" i="15" s="1"/>
  <c r="AQ29" i="14"/>
  <c r="X28" i="7"/>
  <c r="Y29" i="4"/>
  <c r="AP30" i="15"/>
  <c r="AP29" i="18"/>
  <c r="AP30" i="19"/>
  <c r="X30" i="4"/>
  <c r="AW35" i="15"/>
  <c r="BL30" i="19"/>
  <c r="AO30" i="19"/>
  <c r="S30" i="18"/>
  <c r="I30" i="18"/>
  <c r="J30" i="18" s="1"/>
  <c r="K30" i="18" s="1"/>
  <c r="L30" i="18" s="1"/>
  <c r="AO29" i="18"/>
  <c r="BL29" i="18"/>
  <c r="S31" i="19"/>
  <c r="I31" i="19"/>
  <c r="J31" i="19" s="1"/>
  <c r="K31" i="19" s="1"/>
  <c r="L31" i="19" s="1"/>
  <c r="AD33" i="7"/>
  <c r="D34" i="7" s="1"/>
  <c r="AE33" i="7"/>
  <c r="E34" i="7" s="1"/>
  <c r="AH33" i="7"/>
  <c r="H34" i="7" s="1"/>
  <c r="AG33" i="7"/>
  <c r="G34" i="7" s="1"/>
  <c r="AO30" i="15"/>
  <c r="S31" i="14"/>
  <c r="I31" i="14"/>
  <c r="J31" i="14" s="1"/>
  <c r="K31" i="14" s="1"/>
  <c r="L31" i="14" s="1"/>
  <c r="BL30" i="14"/>
  <c r="BA30" i="14"/>
  <c r="AD30" i="14"/>
  <c r="AA30" i="14"/>
  <c r="AB30" i="14" s="1"/>
  <c r="AC30" i="14" s="1"/>
  <c r="BK30" i="14"/>
  <c r="AN30" i="14"/>
  <c r="AM30" i="14"/>
  <c r="AJ30" i="14"/>
  <c r="AK30" i="14"/>
  <c r="AT31" i="15"/>
  <c r="B32" i="15" s="1"/>
  <c r="Z31" i="15"/>
  <c r="I32" i="13"/>
  <c r="J32" i="13" s="1"/>
  <c r="K32" i="13" s="1"/>
  <c r="L32" i="13" s="1"/>
  <c r="S32" i="13"/>
  <c r="AA31" i="13"/>
  <c r="AB31" i="13" s="1"/>
  <c r="AC31" i="13" s="1"/>
  <c r="AD31" i="13"/>
  <c r="AJ31" i="13"/>
  <c r="AM31" i="13"/>
  <c r="AK31" i="13"/>
  <c r="AN31" i="13"/>
  <c r="W28" i="7"/>
  <c r="Y28" i="7" s="1"/>
  <c r="W30" i="4"/>
  <c r="P29" i="7"/>
  <c r="AQ30" i="4"/>
  <c r="G31" i="4" s="1"/>
  <c r="AO30" i="4"/>
  <c r="E31" i="4" s="1"/>
  <c r="AN30" i="4"/>
  <c r="D31" i="4" s="1"/>
  <c r="AR30" i="4"/>
  <c r="H31" i="4" s="1"/>
  <c r="AL30" i="4"/>
  <c r="B31" i="4" s="1"/>
  <c r="AB29" i="7"/>
  <c r="AI29" i="7" s="1"/>
  <c r="AJ29" i="7" s="1"/>
  <c r="AX29" i="12"/>
  <c r="B29" i="9"/>
  <c r="Z28" i="9"/>
  <c r="AH28" i="9" s="1"/>
  <c r="AW29" i="12"/>
  <c r="AT29" i="12"/>
  <c r="V29" i="12"/>
  <c r="J29" i="7"/>
  <c r="K29" i="7" s="1"/>
  <c r="L29" i="7" s="1"/>
  <c r="S29" i="7"/>
  <c r="R29" i="7"/>
  <c r="V29" i="7"/>
  <c r="U29" i="7"/>
  <c r="AO27" i="10"/>
  <c r="AH27" i="12"/>
  <c r="BD28" i="10"/>
  <c r="D29" i="10" s="1"/>
  <c r="U29" i="10" s="1"/>
  <c r="BJ27" i="10"/>
  <c r="I28" i="9"/>
  <c r="BH28" i="10"/>
  <c r="H29" i="10" s="1"/>
  <c r="Y29" i="10" s="1"/>
  <c r="AD27" i="12"/>
  <c r="AA27" i="12"/>
  <c r="AB27" i="12" s="1"/>
  <c r="AC27" i="12" s="1"/>
  <c r="AY27" i="12"/>
  <c r="AZ27" i="12"/>
  <c r="AN27" i="12"/>
  <c r="AK27" i="12"/>
  <c r="AM27" i="12"/>
  <c r="AJ27" i="12"/>
  <c r="BE28" i="10"/>
  <c r="E29" i="10" s="1"/>
  <c r="V29" i="10" s="1"/>
  <c r="AD27" i="9"/>
  <c r="AA27" i="9"/>
  <c r="AK27" i="9"/>
  <c r="AN27" i="9"/>
  <c r="AM27" i="9"/>
  <c r="AJ27" i="9"/>
  <c r="S28" i="12"/>
  <c r="I28" i="12"/>
  <c r="S28" i="10"/>
  <c r="I28" i="10"/>
  <c r="BG28" i="10"/>
  <c r="G29" i="10" s="1"/>
  <c r="X29" i="10" s="1"/>
  <c r="AO31" i="4" l="1"/>
  <c r="E32" i="4" s="1"/>
  <c r="AQ31" i="4"/>
  <c r="G32" i="4" s="1"/>
  <c r="AR31" i="4"/>
  <c r="H32" i="4" s="1"/>
  <c r="AR32" i="4" s="1"/>
  <c r="H33" i="4" s="1"/>
  <c r="AN31" i="4"/>
  <c r="D32" i="4" s="1"/>
  <c r="AN32" i="4" s="1"/>
  <c r="D33" i="4" s="1"/>
  <c r="V38" i="15"/>
  <c r="AW38" i="15"/>
  <c r="E38" i="15" s="1"/>
  <c r="AP30" i="14"/>
  <c r="AQ30" i="15"/>
  <c r="AQ29" i="18"/>
  <c r="X29" i="7"/>
  <c r="AP31" i="13"/>
  <c r="Y30" i="4"/>
  <c r="AQ30" i="19"/>
  <c r="AD34" i="7"/>
  <c r="D35" i="7" s="1"/>
  <c r="AG34" i="7"/>
  <c r="G35" i="7" s="1"/>
  <c r="AH34" i="7"/>
  <c r="H35" i="7" s="1"/>
  <c r="AE34" i="7"/>
  <c r="E35" i="7" s="1"/>
  <c r="Z31" i="19"/>
  <c r="AH31" i="19" s="1"/>
  <c r="Z30" i="18"/>
  <c r="AZ30" i="18" s="1"/>
  <c r="AO30" i="14"/>
  <c r="AQ30" i="14" s="1"/>
  <c r="AO31" i="13"/>
  <c r="S32" i="15"/>
  <c r="I32" i="15"/>
  <c r="J32" i="15" s="1"/>
  <c r="K32" i="15" s="1"/>
  <c r="L32" i="15" s="1"/>
  <c r="B33" i="13"/>
  <c r="Z32" i="13"/>
  <c r="AH32" i="13" s="1"/>
  <c r="AD31" i="15"/>
  <c r="BB31" i="15"/>
  <c r="AA31" i="15"/>
  <c r="AB31" i="15" s="1"/>
  <c r="AC31" i="15" s="1"/>
  <c r="BA31" i="15"/>
  <c r="AM31" i="15"/>
  <c r="AK31" i="15"/>
  <c r="AN31" i="15"/>
  <c r="AJ31" i="15"/>
  <c r="AH31" i="15"/>
  <c r="Z31" i="14"/>
  <c r="AQ32" i="4"/>
  <c r="G33" i="4" s="1"/>
  <c r="J28" i="12"/>
  <c r="K28" i="12" s="1"/>
  <c r="L28" i="12" s="1"/>
  <c r="AO32" i="4"/>
  <c r="E33" i="4" s="1"/>
  <c r="AB27" i="9"/>
  <c r="AC27" i="9" s="1"/>
  <c r="B30" i="7"/>
  <c r="I30" i="7" s="1"/>
  <c r="J30" i="7" s="1"/>
  <c r="K30" i="7" s="1"/>
  <c r="L30" i="7" s="1"/>
  <c r="AT30" i="4"/>
  <c r="I31" i="4"/>
  <c r="AD31" i="4" s="1"/>
  <c r="AL31" i="4"/>
  <c r="B32" i="4" s="1"/>
  <c r="BH29" i="10"/>
  <c r="H30" i="10" s="1"/>
  <c r="Y30" i="10" s="1"/>
  <c r="S29" i="9"/>
  <c r="I29" i="9"/>
  <c r="J29" i="9" s="1"/>
  <c r="K29" i="9" s="1"/>
  <c r="L29" i="9" s="1"/>
  <c r="AU29" i="12"/>
  <c r="E30" i="12" s="1"/>
  <c r="V30" i="12" s="1"/>
  <c r="BG29" i="10"/>
  <c r="G30" i="10" s="1"/>
  <c r="X30" i="10" s="1"/>
  <c r="BE29" i="10"/>
  <c r="E30" i="10" s="1"/>
  <c r="BD29" i="10"/>
  <c r="D30" i="10" s="1"/>
  <c r="U30" i="10" s="1"/>
  <c r="AD28" i="9"/>
  <c r="AA28" i="9"/>
  <c r="AB28" i="9" s="1"/>
  <c r="AC28" i="9" s="1"/>
  <c r="AM28" i="9"/>
  <c r="AJ28" i="9"/>
  <c r="AK28" i="9"/>
  <c r="AN28" i="9"/>
  <c r="H30" i="12"/>
  <c r="Y30" i="12" s="1"/>
  <c r="D30" i="12"/>
  <c r="U30" i="12" s="1"/>
  <c r="G30" i="12"/>
  <c r="X30" i="12" s="1"/>
  <c r="W29" i="7"/>
  <c r="Y29" i="7" s="1"/>
  <c r="AO27" i="9"/>
  <c r="AO27" i="12"/>
  <c r="J28" i="10"/>
  <c r="K28" i="10" s="1"/>
  <c r="L28" i="10" s="1"/>
  <c r="BB28" i="10"/>
  <c r="B29" i="10" s="1"/>
  <c r="S29" i="10" s="1"/>
  <c r="Z29" i="10" s="1"/>
  <c r="Z28" i="10"/>
  <c r="AR28" i="12"/>
  <c r="B29" i="12" s="1"/>
  <c r="Z28" i="12"/>
  <c r="J28" i="9"/>
  <c r="K28" i="9" s="1"/>
  <c r="L28" i="9" s="1"/>
  <c r="AG31" i="4" l="1"/>
  <c r="AB31" i="4"/>
  <c r="AH31" i="4"/>
  <c r="AE31" i="4"/>
  <c r="AQ31" i="13"/>
  <c r="AP31" i="15"/>
  <c r="AE35" i="7"/>
  <c r="AG35" i="7"/>
  <c r="AD35" i="7"/>
  <c r="AH35" i="7"/>
  <c r="AH30" i="18"/>
  <c r="AT30" i="18"/>
  <c r="BJ30" i="18"/>
  <c r="H31" i="18" s="1"/>
  <c r="Y31" i="18" s="1"/>
  <c r="BD30" i="18"/>
  <c r="B31" i="18" s="1"/>
  <c r="BA30" i="18"/>
  <c r="BK30" i="18"/>
  <c r="AA30" i="18"/>
  <c r="AB30" i="18" s="1"/>
  <c r="AC30" i="18" s="1"/>
  <c r="AD30" i="18"/>
  <c r="AN30" i="18"/>
  <c r="BD31" i="19"/>
  <c r="B32" i="19" s="1"/>
  <c r="AD31" i="19"/>
  <c r="AA31" i="19"/>
  <c r="AB31" i="19" s="1"/>
  <c r="AC31" i="19" s="1"/>
  <c r="BK31" i="19"/>
  <c r="BA31" i="19"/>
  <c r="AT31" i="19"/>
  <c r="AH31" i="14"/>
  <c r="AO31" i="15"/>
  <c r="AQ33" i="4"/>
  <c r="G34" i="4" s="1"/>
  <c r="AN33" i="4"/>
  <c r="D34" i="4" s="1"/>
  <c r="AR33" i="4"/>
  <c r="H34" i="4" s="1"/>
  <c r="AO33" i="4"/>
  <c r="E34" i="4" s="1"/>
  <c r="AA32" i="13"/>
  <c r="AB32" i="13" s="1"/>
  <c r="AC32" i="13" s="1"/>
  <c r="AD32" i="13"/>
  <c r="AJ32" i="13"/>
  <c r="AM32" i="13"/>
  <c r="AK32" i="13"/>
  <c r="AN32" i="13"/>
  <c r="I33" i="13"/>
  <c r="J33" i="13" s="1"/>
  <c r="K33" i="13" s="1"/>
  <c r="L33" i="13" s="1"/>
  <c r="S33" i="13"/>
  <c r="BK31" i="14"/>
  <c r="AD31" i="14"/>
  <c r="BA31" i="14"/>
  <c r="AA31" i="14"/>
  <c r="AB31" i="14" s="1"/>
  <c r="AC31" i="14" s="1"/>
  <c r="BG31" i="14"/>
  <c r="E32" i="14" s="1"/>
  <c r="V32" i="14" s="1"/>
  <c r="BD31" i="14"/>
  <c r="B32" i="14" s="1"/>
  <c r="BF31" i="14"/>
  <c r="D32" i="14" s="1"/>
  <c r="U32" i="14" s="1"/>
  <c r="BJ31" i="14"/>
  <c r="H32" i="14" s="1"/>
  <c r="Y32" i="14" s="1"/>
  <c r="BI31" i="14"/>
  <c r="G32" i="14" s="1"/>
  <c r="X32" i="14" s="1"/>
  <c r="AK31" i="14"/>
  <c r="AJ31" i="14"/>
  <c r="AM31" i="14"/>
  <c r="AN31" i="14"/>
  <c r="AT32" i="15"/>
  <c r="B33" i="15" s="1"/>
  <c r="Z32" i="15"/>
  <c r="AH32" i="15" s="1"/>
  <c r="I32" i="4"/>
  <c r="AB32" i="4" s="1"/>
  <c r="AL32" i="4"/>
  <c r="B33" i="4" s="1"/>
  <c r="P30" i="7"/>
  <c r="AB30" i="7"/>
  <c r="AI30" i="7" s="1"/>
  <c r="AJ30" i="7" s="1"/>
  <c r="R31" i="4"/>
  <c r="P31" i="4"/>
  <c r="U31" i="4"/>
  <c r="V31" i="4"/>
  <c r="J31" i="4"/>
  <c r="K31" i="4" s="1"/>
  <c r="L31" i="4" s="1"/>
  <c r="AI31" i="4"/>
  <c r="AS31" i="4"/>
  <c r="AT31" i="4" s="1"/>
  <c r="S31" i="4"/>
  <c r="B30" i="9"/>
  <c r="Z29" i="9"/>
  <c r="AH29" i="10"/>
  <c r="BB29" i="10"/>
  <c r="BJ29" i="10" s="1"/>
  <c r="AO28" i="9"/>
  <c r="BI29" i="10"/>
  <c r="AY29" i="10"/>
  <c r="AA29" i="10"/>
  <c r="AB29" i="10" s="1"/>
  <c r="AC29" i="10" s="1"/>
  <c r="AJ29" i="10"/>
  <c r="AK29" i="10"/>
  <c r="AN29" i="10"/>
  <c r="S29" i="12"/>
  <c r="I29" i="12"/>
  <c r="J29" i="12" s="1"/>
  <c r="K29" i="12" s="1"/>
  <c r="L29" i="12" s="1"/>
  <c r="AM29" i="10"/>
  <c r="AW30" i="12"/>
  <c r="G31" i="12" s="1"/>
  <c r="X31" i="12" s="1"/>
  <c r="AT30" i="12"/>
  <c r="D31" i="12" s="1"/>
  <c r="U31" i="12" s="1"/>
  <c r="AX30" i="12"/>
  <c r="H31" i="12" s="1"/>
  <c r="Y31" i="12" s="1"/>
  <c r="AU30" i="12"/>
  <c r="E31" i="12" s="1"/>
  <c r="BH30" i="10"/>
  <c r="H31" i="10" s="1"/>
  <c r="Y31" i="10" s="1"/>
  <c r="BD30" i="10"/>
  <c r="D31" i="10" s="1"/>
  <c r="U31" i="10" s="1"/>
  <c r="BG30" i="10"/>
  <c r="G31" i="10" s="1"/>
  <c r="X31" i="10" s="1"/>
  <c r="V30" i="10"/>
  <c r="R30" i="7"/>
  <c r="S30" i="7"/>
  <c r="U30" i="7"/>
  <c r="V30" i="7"/>
  <c r="AA28" i="12"/>
  <c r="AB28" i="12" s="1"/>
  <c r="AC28" i="12" s="1"/>
  <c r="AY28" i="12"/>
  <c r="AZ28" i="12"/>
  <c r="AD28" i="12"/>
  <c r="AK28" i="12"/>
  <c r="AN28" i="12"/>
  <c r="AJ28" i="12"/>
  <c r="AM28" i="12"/>
  <c r="AH28" i="12"/>
  <c r="AY28" i="10"/>
  <c r="AD28" i="10"/>
  <c r="BJ28" i="10"/>
  <c r="AA28" i="10"/>
  <c r="AB28" i="10" s="1"/>
  <c r="AC28" i="10" s="1"/>
  <c r="BI28" i="10"/>
  <c r="AN28" i="10"/>
  <c r="AK28" i="10"/>
  <c r="AJ28" i="10"/>
  <c r="AM28" i="10"/>
  <c r="I29" i="10"/>
  <c r="AD29" i="10" s="1"/>
  <c r="AH28" i="10"/>
  <c r="AE32" i="4" l="1"/>
  <c r="AD32" i="4"/>
  <c r="AH32" i="4"/>
  <c r="AG32" i="4"/>
  <c r="G38" i="7"/>
  <c r="E38" i="7"/>
  <c r="H38" i="7"/>
  <c r="AQ31" i="15"/>
  <c r="AP31" i="19"/>
  <c r="AP30" i="18"/>
  <c r="AP32" i="13"/>
  <c r="AP31" i="14"/>
  <c r="X31" i="4"/>
  <c r="X30" i="7"/>
  <c r="BL31" i="19"/>
  <c r="BL30" i="18"/>
  <c r="G35" i="4"/>
  <c r="E35" i="4"/>
  <c r="D35" i="4"/>
  <c r="H35" i="4"/>
  <c r="AO31" i="19"/>
  <c r="AQ31" i="19" s="1"/>
  <c r="AO30" i="18"/>
  <c r="AQ30" i="18" s="1"/>
  <c r="S31" i="18"/>
  <c r="I31" i="18"/>
  <c r="J31" i="18" s="1"/>
  <c r="K31" i="18" s="1"/>
  <c r="L31" i="18" s="1"/>
  <c r="S32" i="19"/>
  <c r="I32" i="19"/>
  <c r="J32" i="19" s="1"/>
  <c r="K32" i="19" s="1"/>
  <c r="L32" i="19" s="1"/>
  <c r="AL33" i="4"/>
  <c r="B34" i="4" s="1"/>
  <c r="I33" i="4"/>
  <c r="AB33" i="4" s="1"/>
  <c r="AO32" i="13"/>
  <c r="AO31" i="14"/>
  <c r="I33" i="15"/>
  <c r="J33" i="15" s="1"/>
  <c r="K33" i="15" s="1"/>
  <c r="L33" i="15" s="1"/>
  <c r="S33" i="15"/>
  <c r="BI32" i="14"/>
  <c r="G33" i="14" s="1"/>
  <c r="X33" i="14" s="1"/>
  <c r="BJ32" i="14"/>
  <c r="H33" i="14" s="1"/>
  <c r="Y33" i="14" s="1"/>
  <c r="BL31" i="14"/>
  <c r="BF32" i="14"/>
  <c r="D33" i="14" s="1"/>
  <c r="U33" i="14" s="1"/>
  <c r="BG32" i="14"/>
  <c r="E33" i="14" s="1"/>
  <c r="V33" i="14" s="1"/>
  <c r="BA32" i="15"/>
  <c r="BB32" i="15"/>
  <c r="AA32" i="15"/>
  <c r="AB32" i="15" s="1"/>
  <c r="AC32" i="15" s="1"/>
  <c r="AD32" i="15"/>
  <c r="AK32" i="15"/>
  <c r="AJ32" i="15"/>
  <c r="AN32" i="15"/>
  <c r="AM32" i="15"/>
  <c r="S32" i="14"/>
  <c r="I32" i="14"/>
  <c r="J32" i="14" s="1"/>
  <c r="K32" i="14" s="1"/>
  <c r="L32" i="14" s="1"/>
  <c r="B34" i="13"/>
  <c r="Z33" i="13"/>
  <c r="AH33" i="13" s="1"/>
  <c r="P32" i="4"/>
  <c r="AI32" i="4"/>
  <c r="AS32" i="4"/>
  <c r="AT32" i="4" s="1"/>
  <c r="J32" i="4"/>
  <c r="K32" i="4" s="1"/>
  <c r="L32" i="4" s="1"/>
  <c r="V32" i="4"/>
  <c r="U32" i="4"/>
  <c r="R32" i="4"/>
  <c r="S32" i="4"/>
  <c r="B31" i="7"/>
  <c r="AB31" i="7" s="1"/>
  <c r="B32" i="7" s="1"/>
  <c r="W30" i="7"/>
  <c r="W31" i="4"/>
  <c r="AD29" i="9"/>
  <c r="AA29" i="9"/>
  <c r="AB29" i="9" s="1"/>
  <c r="AC29" i="9" s="1"/>
  <c r="AM29" i="9"/>
  <c r="AJ29" i="9"/>
  <c r="AN29" i="9"/>
  <c r="AK29" i="9"/>
  <c r="I30" i="9"/>
  <c r="J30" i="9" s="1"/>
  <c r="K30" i="9" s="1"/>
  <c r="L30" i="9" s="1"/>
  <c r="S30" i="9"/>
  <c r="B31" i="9" s="1"/>
  <c r="AR29" i="12"/>
  <c r="B30" i="12" s="1"/>
  <c r="Z29" i="12"/>
  <c r="AO29" i="10"/>
  <c r="AH29" i="9"/>
  <c r="AT31" i="12"/>
  <c r="D32" i="12" s="1"/>
  <c r="U32" i="12" s="1"/>
  <c r="V31" i="12"/>
  <c r="AX31" i="12"/>
  <c r="H32" i="12" s="1"/>
  <c r="Y32" i="12" s="1"/>
  <c r="AW31" i="12"/>
  <c r="G32" i="12" s="1"/>
  <c r="X32" i="12" s="1"/>
  <c r="BE30" i="10"/>
  <c r="E31" i="10" s="1"/>
  <c r="AO28" i="10"/>
  <c r="B30" i="10"/>
  <c r="J29" i="10"/>
  <c r="K29" i="10" s="1"/>
  <c r="L29" i="10" s="1"/>
  <c r="AO28" i="12"/>
  <c r="P33" i="4" l="1"/>
  <c r="AD33" i="4"/>
  <c r="AE33" i="4"/>
  <c r="AH33" i="4"/>
  <c r="AG33" i="4"/>
  <c r="D38" i="7"/>
  <c r="AP32" i="15"/>
  <c r="AQ31" i="14"/>
  <c r="AQ32" i="13"/>
  <c r="X32" i="4"/>
  <c r="Y30" i="7"/>
  <c r="Y31" i="4"/>
  <c r="B35" i="4"/>
  <c r="I34" i="4"/>
  <c r="AB34" i="4" s="1"/>
  <c r="AR35" i="4"/>
  <c r="H36" i="4" s="1"/>
  <c r="AO35" i="4"/>
  <c r="E36" i="4" s="1"/>
  <c r="AN35" i="4"/>
  <c r="D36" i="4" s="1"/>
  <c r="AQ35" i="4"/>
  <c r="G36" i="4" s="1"/>
  <c r="Z32" i="19"/>
  <c r="Z31" i="18"/>
  <c r="AZ31" i="18" s="1"/>
  <c r="AI33" i="4"/>
  <c r="J33" i="4"/>
  <c r="K33" i="4" s="1"/>
  <c r="L33" i="4" s="1"/>
  <c r="AS33" i="4"/>
  <c r="AT33" i="4" s="1"/>
  <c r="U33" i="4"/>
  <c r="S33" i="4"/>
  <c r="R33" i="4"/>
  <c r="V33" i="4"/>
  <c r="AO32" i="15"/>
  <c r="BG33" i="14"/>
  <c r="E34" i="14" s="1"/>
  <c r="V34" i="14" s="1"/>
  <c r="BI33" i="14"/>
  <c r="G34" i="14" s="1"/>
  <c r="X34" i="14" s="1"/>
  <c r="S34" i="13"/>
  <c r="B35" i="13" s="1"/>
  <c r="I34" i="13"/>
  <c r="Z33" i="15"/>
  <c r="AH33" i="15" s="1"/>
  <c r="AT33" i="15"/>
  <c r="B34" i="15" s="1"/>
  <c r="BF33" i="14"/>
  <c r="D34" i="14" s="1"/>
  <c r="U34" i="14" s="1"/>
  <c r="AD33" i="13"/>
  <c r="AA33" i="13"/>
  <c r="AB33" i="13" s="1"/>
  <c r="AC33" i="13" s="1"/>
  <c r="AJ33" i="13"/>
  <c r="AK33" i="13"/>
  <c r="AM33" i="13"/>
  <c r="AN33" i="13"/>
  <c r="BD32" i="14"/>
  <c r="B33" i="14" s="1"/>
  <c r="Z32" i="14"/>
  <c r="AH32" i="14" s="1"/>
  <c r="BJ33" i="14"/>
  <c r="H34" i="14" s="1"/>
  <c r="Y34" i="14" s="1"/>
  <c r="W32" i="4"/>
  <c r="I31" i="7"/>
  <c r="V31" i="7" s="1"/>
  <c r="I32" i="7"/>
  <c r="P32" i="7" s="1"/>
  <c r="AB32" i="7"/>
  <c r="B33" i="7" s="1"/>
  <c r="AW32" i="12"/>
  <c r="G33" i="12" s="1"/>
  <c r="X33" i="12" s="1"/>
  <c r="I31" i="9"/>
  <c r="J31" i="9" s="1"/>
  <c r="K31" i="9" s="1"/>
  <c r="L31" i="9" s="1"/>
  <c r="S31" i="9"/>
  <c r="B32" i="9" s="1"/>
  <c r="AX32" i="12"/>
  <c r="H33" i="12" s="1"/>
  <c r="Y33" i="12" s="1"/>
  <c r="AT32" i="12"/>
  <c r="D33" i="12" s="1"/>
  <c r="U33" i="12" s="1"/>
  <c r="AI31" i="7"/>
  <c r="AY29" i="12"/>
  <c r="AZ29" i="12"/>
  <c r="AA29" i="12"/>
  <c r="AB29" i="12" s="1"/>
  <c r="AC29" i="12" s="1"/>
  <c r="AD29" i="12"/>
  <c r="AN29" i="12"/>
  <c r="AM29" i="12"/>
  <c r="AJ29" i="12"/>
  <c r="AK29" i="12"/>
  <c r="AO29" i="9"/>
  <c r="AH29" i="12"/>
  <c r="Z30" i="9"/>
  <c r="AH30" i="9" s="1"/>
  <c r="AU31" i="12"/>
  <c r="E32" i="12" s="1"/>
  <c r="V32" i="12" s="1"/>
  <c r="I30" i="12"/>
  <c r="J30" i="12" s="1"/>
  <c r="K30" i="12" s="1"/>
  <c r="L30" i="12" s="1"/>
  <c r="S30" i="12"/>
  <c r="V31" i="10"/>
  <c r="S30" i="10"/>
  <c r="I30" i="10"/>
  <c r="AR36" i="4" l="1"/>
  <c r="H37" i="4" s="1"/>
  <c r="AQ36" i="4"/>
  <c r="G37" i="4" s="1"/>
  <c r="AN36" i="4"/>
  <c r="D37" i="4" s="1"/>
  <c r="AG34" i="4"/>
  <c r="AE34" i="4"/>
  <c r="AD34" i="4"/>
  <c r="AO36" i="4"/>
  <c r="E37" i="4" s="1"/>
  <c r="AQ32" i="15"/>
  <c r="AP33" i="13"/>
  <c r="X33" i="4"/>
  <c r="Y32" i="4"/>
  <c r="S34" i="15"/>
  <c r="I34" i="15"/>
  <c r="J34" i="15" s="1"/>
  <c r="K34" i="15" s="1"/>
  <c r="L34" i="15" s="1"/>
  <c r="BI34" i="14"/>
  <c r="G35" i="14" s="1"/>
  <c r="X35" i="14" s="1"/>
  <c r="BG34" i="14"/>
  <c r="E35" i="14" s="1"/>
  <c r="V35" i="14" s="1"/>
  <c r="BJ34" i="14"/>
  <c r="H35" i="14" s="1"/>
  <c r="Y35" i="14" s="1"/>
  <c r="BF34" i="14"/>
  <c r="D35" i="14" s="1"/>
  <c r="U35" i="14" s="1"/>
  <c r="S35" i="13"/>
  <c r="I35" i="13"/>
  <c r="AH31" i="18"/>
  <c r="AI34" i="4"/>
  <c r="AS34" i="4"/>
  <c r="AT34" i="4" s="1"/>
  <c r="J34" i="4"/>
  <c r="K34" i="4" s="1"/>
  <c r="L34" i="4" s="1"/>
  <c r="S34" i="4"/>
  <c r="U34" i="4"/>
  <c r="R34" i="4"/>
  <c r="P34" i="4"/>
  <c r="AL35" i="4"/>
  <c r="B36" i="4" s="1"/>
  <c r="I35" i="4"/>
  <c r="R31" i="7"/>
  <c r="AT31" i="18"/>
  <c r="W33" i="4"/>
  <c r="BJ31" i="18"/>
  <c r="H32" i="18" s="1"/>
  <c r="Y32" i="18" s="1"/>
  <c r="AA31" i="18"/>
  <c r="AB31" i="18" s="1"/>
  <c r="AC31" i="18" s="1"/>
  <c r="BD31" i="18"/>
  <c r="B32" i="18" s="1"/>
  <c r="BA31" i="18"/>
  <c r="AD31" i="18"/>
  <c r="BK31" i="18"/>
  <c r="AN31" i="18"/>
  <c r="P31" i="7"/>
  <c r="J31" i="7"/>
  <c r="K31" i="7" s="1"/>
  <c r="L31" i="7" s="1"/>
  <c r="AH32" i="19"/>
  <c r="BA32" i="19"/>
  <c r="BK32" i="19"/>
  <c r="BD32" i="19"/>
  <c r="B33" i="19" s="1"/>
  <c r="AA32" i="19"/>
  <c r="AB32" i="19" s="1"/>
  <c r="AC32" i="19" s="1"/>
  <c r="AD32" i="19"/>
  <c r="U31" i="7"/>
  <c r="AT32" i="19"/>
  <c r="AB33" i="7"/>
  <c r="B34" i="7" s="1"/>
  <c r="I33" i="7"/>
  <c r="AW33" i="12"/>
  <c r="S32" i="9"/>
  <c r="B33" i="9" s="1"/>
  <c r="I32" i="9"/>
  <c r="J32" i="9" s="1"/>
  <c r="K32" i="9" s="1"/>
  <c r="L32" i="9" s="1"/>
  <c r="AT33" i="12"/>
  <c r="D34" i="12" s="1"/>
  <c r="U34" i="12" s="1"/>
  <c r="AX33" i="12"/>
  <c r="H34" i="12" s="1"/>
  <c r="Y34" i="12" s="1"/>
  <c r="AO33" i="13"/>
  <c r="AQ33" i="13" s="1"/>
  <c r="Z34" i="13"/>
  <c r="S33" i="14"/>
  <c r="I33" i="14"/>
  <c r="J33" i="14" s="1"/>
  <c r="K33" i="14" s="1"/>
  <c r="L33" i="14" s="1"/>
  <c r="AA33" i="15"/>
  <c r="AB33" i="15" s="1"/>
  <c r="AC33" i="15" s="1"/>
  <c r="BB33" i="15"/>
  <c r="AD33" i="15"/>
  <c r="BA33" i="15"/>
  <c r="AN33" i="15"/>
  <c r="AM33" i="15"/>
  <c r="AK33" i="15"/>
  <c r="AJ33" i="15"/>
  <c r="BL32" i="14"/>
  <c r="BA32" i="14"/>
  <c r="BK32" i="14"/>
  <c r="AD32" i="14"/>
  <c r="AA32" i="14"/>
  <c r="AB32" i="14" s="1"/>
  <c r="AC32" i="14" s="1"/>
  <c r="AJ32" i="14"/>
  <c r="AK32" i="14"/>
  <c r="AM32" i="14"/>
  <c r="AN32" i="14"/>
  <c r="J34" i="13"/>
  <c r="K34" i="13" s="1"/>
  <c r="L34" i="13" s="1"/>
  <c r="S31" i="7"/>
  <c r="AJ31" i="7"/>
  <c r="AU32" i="12"/>
  <c r="E33" i="12" s="1"/>
  <c r="V33" i="12" s="1"/>
  <c r="Z31" i="9"/>
  <c r="AH31" i="9" s="1"/>
  <c r="AI32" i="7"/>
  <c r="AJ32" i="7" s="1"/>
  <c r="J32" i="7"/>
  <c r="K32" i="7" s="1"/>
  <c r="L32" i="7" s="1"/>
  <c r="S32" i="7"/>
  <c r="R32" i="7"/>
  <c r="U32" i="7"/>
  <c r="V32" i="7"/>
  <c r="AO29" i="12"/>
  <c r="AD30" i="9"/>
  <c r="AA30" i="9"/>
  <c r="AM30" i="9"/>
  <c r="AK30" i="9"/>
  <c r="AJ30" i="9"/>
  <c r="AN30" i="9"/>
  <c r="Z30" i="12"/>
  <c r="AH30" i="12" s="1"/>
  <c r="AR30" i="12"/>
  <c r="B31" i="12" s="1"/>
  <c r="Z30" i="10"/>
  <c r="AA30" i="10" s="1"/>
  <c r="AB30" i="10" s="1"/>
  <c r="AC30" i="10" s="1"/>
  <c r="BB30" i="10"/>
  <c r="B31" i="10" s="1"/>
  <c r="J30" i="10"/>
  <c r="K30" i="10" s="1"/>
  <c r="L30" i="10" s="1"/>
  <c r="AN37" i="4" l="1"/>
  <c r="D38" i="4" s="1"/>
  <c r="AH35" i="4"/>
  <c r="AD35" i="4"/>
  <c r="AG35" i="4"/>
  <c r="AE35" i="4"/>
  <c r="AO37" i="4"/>
  <c r="E38" i="4" s="1"/>
  <c r="AL36" i="4"/>
  <c r="B37" i="4" s="1"/>
  <c r="I36" i="4"/>
  <c r="AB36" i="4" s="1"/>
  <c r="AB35" i="4"/>
  <c r="AQ37" i="4"/>
  <c r="G38" i="4" s="1"/>
  <c r="AR37" i="4"/>
  <c r="H38" i="4" s="1"/>
  <c r="Y33" i="4"/>
  <c r="AP33" i="15"/>
  <c r="AP32" i="14"/>
  <c r="X32" i="7"/>
  <c r="X31" i="7"/>
  <c r="X34" i="4"/>
  <c r="AP31" i="18"/>
  <c r="AP32" i="19"/>
  <c r="AT34" i="12"/>
  <c r="D35" i="12" s="1"/>
  <c r="U35" i="12" s="1"/>
  <c r="G34" i="12"/>
  <c r="X34" i="12" s="1"/>
  <c r="AX34" i="12"/>
  <c r="H35" i="12" s="1"/>
  <c r="Y35" i="12" s="1"/>
  <c r="S33" i="9"/>
  <c r="I33" i="9"/>
  <c r="J33" i="9" s="1"/>
  <c r="K33" i="9" s="1"/>
  <c r="L33" i="9" s="1"/>
  <c r="J35" i="13"/>
  <c r="K35" i="13" s="1"/>
  <c r="L35" i="13" s="1"/>
  <c r="BF35" i="14"/>
  <c r="Z35" i="13"/>
  <c r="BI35" i="14"/>
  <c r="BJ35" i="14"/>
  <c r="BG35" i="14"/>
  <c r="AT34" i="15"/>
  <c r="Z34" i="15"/>
  <c r="I34" i="7"/>
  <c r="AB34" i="7"/>
  <c r="P35" i="4"/>
  <c r="W34" i="4"/>
  <c r="AS35" i="4"/>
  <c r="AT35" i="4" s="1"/>
  <c r="J35" i="4"/>
  <c r="K35" i="4" s="1"/>
  <c r="L35" i="4" s="1"/>
  <c r="AI35" i="4"/>
  <c r="S35" i="4"/>
  <c r="V35" i="4"/>
  <c r="R35" i="4"/>
  <c r="U35" i="4"/>
  <c r="BL32" i="19"/>
  <c r="W31" i="7"/>
  <c r="BL31" i="18"/>
  <c r="AO31" i="18"/>
  <c r="AO32" i="19"/>
  <c r="S32" i="18"/>
  <c r="I32" i="18"/>
  <c r="J32" i="18" s="1"/>
  <c r="K32" i="18" s="1"/>
  <c r="L32" i="18" s="1"/>
  <c r="S33" i="19"/>
  <c r="I33" i="19"/>
  <c r="J33" i="19" s="1"/>
  <c r="K33" i="19" s="1"/>
  <c r="L33" i="19" s="1"/>
  <c r="AU33" i="12"/>
  <c r="Z32" i="9"/>
  <c r="AO32" i="14"/>
  <c r="P33" i="7"/>
  <c r="J33" i="7"/>
  <c r="K33" i="7" s="1"/>
  <c r="L33" i="7" s="1"/>
  <c r="R33" i="7"/>
  <c r="S33" i="7"/>
  <c r="U33" i="7"/>
  <c r="V33" i="7"/>
  <c r="AI33" i="7"/>
  <c r="AJ33" i="7" s="1"/>
  <c r="AO33" i="15"/>
  <c r="AD34" i="13"/>
  <c r="AA34" i="13"/>
  <c r="AB34" i="13" s="1"/>
  <c r="AC34" i="13" s="1"/>
  <c r="AM34" i="13"/>
  <c r="AK34" i="13"/>
  <c r="AJ34" i="13"/>
  <c r="AN34" i="13"/>
  <c r="BD33" i="14"/>
  <c r="B34" i="14" s="1"/>
  <c r="Z33" i="14"/>
  <c r="AH33" i="14" s="1"/>
  <c r="AH34" i="13"/>
  <c r="W32" i="7"/>
  <c r="AD31" i="9"/>
  <c r="AA31" i="9"/>
  <c r="AB31" i="9" s="1"/>
  <c r="AC31" i="9" s="1"/>
  <c r="AM31" i="9"/>
  <c r="AJ31" i="9"/>
  <c r="AN31" i="9"/>
  <c r="AK31" i="9"/>
  <c r="AD30" i="12"/>
  <c r="AB30" i="9"/>
  <c r="AC30" i="9" s="1"/>
  <c r="AH30" i="10"/>
  <c r="AO30" i="9"/>
  <c r="AD30" i="10"/>
  <c r="AA30" i="12"/>
  <c r="AB30" i="12" s="1"/>
  <c r="AC30" i="12" s="1"/>
  <c r="S31" i="12"/>
  <c r="I31" i="12"/>
  <c r="J31" i="12" s="1"/>
  <c r="K31" i="12" s="1"/>
  <c r="L31" i="12" s="1"/>
  <c r="AY30" i="12"/>
  <c r="AZ30" i="12"/>
  <c r="AM30" i="12"/>
  <c r="AN30" i="12"/>
  <c r="AJ30" i="12"/>
  <c r="AK30" i="12"/>
  <c r="S31" i="10"/>
  <c r="I31" i="10"/>
  <c r="J31" i="10" s="1"/>
  <c r="K31" i="10" s="1"/>
  <c r="L31" i="10" s="1"/>
  <c r="BJ30" i="10"/>
  <c r="AY30" i="10"/>
  <c r="BI30" i="10"/>
  <c r="AJ30" i="10"/>
  <c r="AM30" i="10"/>
  <c r="AN30" i="10"/>
  <c r="AK30" i="10"/>
  <c r="AQ32" i="14" l="1"/>
  <c r="AL37" i="4"/>
  <c r="I37" i="4"/>
  <c r="P37" i="4"/>
  <c r="J36" i="4"/>
  <c r="K36" i="4" s="1"/>
  <c r="L36" i="4" s="1"/>
  <c r="AI36" i="4"/>
  <c r="AS36" i="4"/>
  <c r="AT36" i="4" s="1"/>
  <c r="R36" i="4"/>
  <c r="S36" i="4"/>
  <c r="AH36" i="4"/>
  <c r="U36" i="4"/>
  <c r="V36" i="4"/>
  <c r="AD36" i="4"/>
  <c r="AE36" i="4"/>
  <c r="AG36" i="4"/>
  <c r="P36" i="4"/>
  <c r="Y32" i="7"/>
  <c r="AQ33" i="15"/>
  <c r="U38" i="14"/>
  <c r="B38" i="4"/>
  <c r="I38" i="4" s="1"/>
  <c r="X38" i="14"/>
  <c r="S38" i="13"/>
  <c r="B38" i="13"/>
  <c r="I38" i="13" s="1"/>
  <c r="C19" i="8" s="1"/>
  <c r="L19" i="8" s="1"/>
  <c r="Y38" i="14"/>
  <c r="V38" i="14"/>
  <c r="I48" i="13"/>
  <c r="Y34" i="4"/>
  <c r="AP34" i="13"/>
  <c r="X33" i="7"/>
  <c r="AQ32" i="19"/>
  <c r="Y31" i="7"/>
  <c r="X35" i="4"/>
  <c r="AQ31" i="18"/>
  <c r="AW34" i="12"/>
  <c r="G35" i="12" s="1"/>
  <c r="X35" i="12" s="1"/>
  <c r="E34" i="12"/>
  <c r="V34" i="12" s="1"/>
  <c r="AX35" i="12"/>
  <c r="AT35" i="12"/>
  <c r="Z33" i="9"/>
  <c r="B34" i="9"/>
  <c r="S34" i="14"/>
  <c r="I34" i="14"/>
  <c r="J34" i="14" s="1"/>
  <c r="K34" i="14" s="1"/>
  <c r="L34" i="14" s="1"/>
  <c r="BA34" i="15"/>
  <c r="AD34" i="15"/>
  <c r="AA34" i="15"/>
  <c r="AB34" i="15" s="1"/>
  <c r="AC34" i="15" s="1"/>
  <c r="AN34" i="15"/>
  <c r="AM34" i="15"/>
  <c r="AJ34" i="15"/>
  <c r="AK34" i="15"/>
  <c r="AD35" i="13"/>
  <c r="AA35" i="13"/>
  <c r="AJ35" i="13"/>
  <c r="AN35" i="13"/>
  <c r="AM35" i="13"/>
  <c r="AK35" i="13"/>
  <c r="B35" i="15"/>
  <c r="BB34" i="15"/>
  <c r="AH35" i="13"/>
  <c r="AH34" i="15"/>
  <c r="AI34" i="7"/>
  <c r="AJ34" i="7" s="1"/>
  <c r="B35" i="7"/>
  <c r="J34" i="7"/>
  <c r="K34" i="7" s="1"/>
  <c r="L34" i="7" s="1"/>
  <c r="R34" i="7"/>
  <c r="V34" i="7"/>
  <c r="U34" i="7"/>
  <c r="S34" i="7"/>
  <c r="P34" i="7"/>
  <c r="W35" i="4"/>
  <c r="Z33" i="19"/>
  <c r="AH33" i="19" s="1"/>
  <c r="Z32" i="18"/>
  <c r="AZ32" i="18" s="1"/>
  <c r="AA32" i="9"/>
  <c r="AB32" i="9" s="1"/>
  <c r="AC32" i="9" s="1"/>
  <c r="AD32" i="9"/>
  <c r="AM32" i="9"/>
  <c r="AN32" i="9"/>
  <c r="AK32" i="9"/>
  <c r="AJ32" i="9"/>
  <c r="W33" i="7"/>
  <c r="AH32" i="9"/>
  <c r="BL33" i="14"/>
  <c r="AD33" i="14"/>
  <c r="AA33" i="14"/>
  <c r="AB33" i="14" s="1"/>
  <c r="AC33" i="14" s="1"/>
  <c r="BA33" i="14"/>
  <c r="BK33" i="14"/>
  <c r="AK33" i="14"/>
  <c r="AN33" i="14"/>
  <c r="AJ33" i="14"/>
  <c r="AM33" i="14"/>
  <c r="AO34" i="13"/>
  <c r="AO31" i="9"/>
  <c r="AO30" i="10"/>
  <c r="AO30" i="12"/>
  <c r="Z31" i="12"/>
  <c r="AH31" i="12" s="1"/>
  <c r="AR31" i="12"/>
  <c r="B32" i="12" s="1"/>
  <c r="Z31" i="10"/>
  <c r="X36" i="4" l="1"/>
  <c r="W36" i="4"/>
  <c r="Y36" i="4" s="1"/>
  <c r="AI37" i="4"/>
  <c r="J37" i="4"/>
  <c r="K37" i="4" s="1"/>
  <c r="L37" i="4" s="1"/>
  <c r="I40" i="4" s="1"/>
  <c r="B8" i="8" s="1"/>
  <c r="AS37" i="4"/>
  <c r="AD37" i="4"/>
  <c r="V37" i="4"/>
  <c r="AH37" i="4"/>
  <c r="S37" i="4"/>
  <c r="U37" i="4"/>
  <c r="U38" i="4" s="1"/>
  <c r="AG37" i="4"/>
  <c r="R37" i="4"/>
  <c r="AE37" i="4"/>
  <c r="AT37" i="4"/>
  <c r="AB37" i="4"/>
  <c r="B6" i="8"/>
  <c r="I44" i="4"/>
  <c r="I39" i="4"/>
  <c r="AQ34" i="13"/>
  <c r="AH38" i="13"/>
  <c r="P38" i="4"/>
  <c r="Z38" i="13"/>
  <c r="I39" i="13" s="1"/>
  <c r="I41" i="13" s="1"/>
  <c r="C22" i="8" s="1"/>
  <c r="L22" i="8" s="1"/>
  <c r="AM38" i="13"/>
  <c r="I46" i="4"/>
  <c r="AP33" i="14"/>
  <c r="X34" i="7"/>
  <c r="AP34" i="15"/>
  <c r="Y33" i="7"/>
  <c r="AP35" i="13"/>
  <c r="Y35" i="4"/>
  <c r="AO34" i="15"/>
  <c r="W34" i="7"/>
  <c r="AU34" i="12"/>
  <c r="E35" i="12" s="1"/>
  <c r="V35" i="12" s="1"/>
  <c r="AW35" i="12"/>
  <c r="I34" i="9"/>
  <c r="S34" i="9"/>
  <c r="B35" i="9" s="1"/>
  <c r="AD33" i="9"/>
  <c r="AA33" i="9"/>
  <c r="AB33" i="9" s="1"/>
  <c r="AC33" i="9" s="1"/>
  <c r="AM33" i="9"/>
  <c r="AK33" i="9"/>
  <c r="AN33" i="9"/>
  <c r="AJ33" i="9"/>
  <c r="AH33" i="9"/>
  <c r="I35" i="15"/>
  <c r="S35" i="15"/>
  <c r="Z34" i="14"/>
  <c r="BD34" i="14"/>
  <c r="AO35" i="13"/>
  <c r="AO38" i="13" s="1"/>
  <c r="AB35" i="13"/>
  <c r="AC35" i="13" s="1"/>
  <c r="I35" i="7"/>
  <c r="AB35" i="7"/>
  <c r="AH32" i="18"/>
  <c r="AT32" i="18"/>
  <c r="BA32" i="18"/>
  <c r="AD32" i="18"/>
  <c r="BD32" i="18"/>
  <c r="B33" i="18" s="1"/>
  <c r="BK32" i="18"/>
  <c r="BJ32" i="18"/>
  <c r="H33" i="18" s="1"/>
  <c r="Y33" i="18" s="1"/>
  <c r="AA32" i="18"/>
  <c r="AB32" i="18" s="1"/>
  <c r="AC32" i="18" s="1"/>
  <c r="AN32" i="18"/>
  <c r="AA33" i="19"/>
  <c r="AB33" i="19" s="1"/>
  <c r="AC33" i="19" s="1"/>
  <c r="BA33" i="19"/>
  <c r="BK33" i="19"/>
  <c r="AD33" i="19"/>
  <c r="BD33" i="19"/>
  <c r="B34" i="19" s="1"/>
  <c r="AT33" i="19"/>
  <c r="AO32" i="9"/>
  <c r="AO33" i="14"/>
  <c r="I32" i="12"/>
  <c r="J32" i="12" s="1"/>
  <c r="K32" i="12" s="1"/>
  <c r="L32" i="12" s="1"/>
  <c r="S32" i="12"/>
  <c r="AH31" i="10"/>
  <c r="BH31" i="10"/>
  <c r="H32" i="10" s="1"/>
  <c r="Y32" i="10" s="1"/>
  <c r="BG31" i="10"/>
  <c r="G32" i="10" s="1"/>
  <c r="X32" i="10" s="1"/>
  <c r="BE31" i="10"/>
  <c r="E32" i="10" s="1"/>
  <c r="V32" i="10" s="1"/>
  <c r="BB31" i="10"/>
  <c r="B32" i="10" s="1"/>
  <c r="BD31" i="10"/>
  <c r="D32" i="10" s="1"/>
  <c r="U32" i="10" s="1"/>
  <c r="AZ31" i="12"/>
  <c r="AY31" i="12"/>
  <c r="AD31" i="12"/>
  <c r="AM31" i="12"/>
  <c r="AJ31" i="12"/>
  <c r="AN31" i="12"/>
  <c r="AK31" i="12"/>
  <c r="AA31" i="12"/>
  <c r="AY31" i="10"/>
  <c r="BI31" i="10"/>
  <c r="AD31" i="10"/>
  <c r="AN31" i="10"/>
  <c r="AM31" i="10"/>
  <c r="AJ31" i="10"/>
  <c r="AK31" i="10"/>
  <c r="AA31" i="10"/>
  <c r="AB31" i="10" s="1"/>
  <c r="AC31" i="10" s="1"/>
  <c r="AQ33" i="14" l="1"/>
  <c r="I45" i="13"/>
  <c r="X37" i="4"/>
  <c r="R38" i="4"/>
  <c r="W37" i="4"/>
  <c r="Y37" i="4" s="1"/>
  <c r="U38" i="12"/>
  <c r="AT38" i="12"/>
  <c r="D38" i="12" s="1"/>
  <c r="AI35" i="7"/>
  <c r="AJ35" i="7" s="1"/>
  <c r="K8" i="8"/>
  <c r="I45" i="4"/>
  <c r="C20" i="8"/>
  <c r="L20" i="8" s="1"/>
  <c r="S35" i="9"/>
  <c r="I35" i="9"/>
  <c r="V38" i="4"/>
  <c r="AP38" i="13"/>
  <c r="AJ38" i="13"/>
  <c r="Y38" i="12"/>
  <c r="AX38" i="12"/>
  <c r="H38" i="12" s="1"/>
  <c r="K6" i="8"/>
  <c r="AN38" i="13"/>
  <c r="I40" i="13"/>
  <c r="C21" i="8" s="1"/>
  <c r="L21" i="8" s="1"/>
  <c r="X38" i="4"/>
  <c r="B12" i="8" s="1"/>
  <c r="B7" i="8"/>
  <c r="I41" i="4"/>
  <c r="B9" i="8" s="1"/>
  <c r="I46" i="13"/>
  <c r="AO33" i="9"/>
  <c r="AP33" i="19"/>
  <c r="Y34" i="7"/>
  <c r="AQ35" i="13"/>
  <c r="AQ38" i="13" s="1"/>
  <c r="AP32" i="18"/>
  <c r="AQ34" i="15"/>
  <c r="AU35" i="12"/>
  <c r="J34" i="9"/>
  <c r="K34" i="9" s="1"/>
  <c r="L34" i="9" s="1"/>
  <c r="Z34" i="9"/>
  <c r="AA34" i="14"/>
  <c r="AB34" i="14" s="1"/>
  <c r="AC34" i="14" s="1"/>
  <c r="BK34" i="14"/>
  <c r="AD34" i="14"/>
  <c r="BA34" i="14"/>
  <c r="AM34" i="14"/>
  <c r="AN34" i="14"/>
  <c r="AJ34" i="14"/>
  <c r="AK34" i="14"/>
  <c r="AH34" i="14"/>
  <c r="Z35" i="15"/>
  <c r="AH35" i="15" s="1"/>
  <c r="AT35" i="15"/>
  <c r="B35" i="14"/>
  <c r="BL34" i="14"/>
  <c r="J35" i="15"/>
  <c r="K35" i="15" s="1"/>
  <c r="L35" i="15" s="1"/>
  <c r="I48" i="15"/>
  <c r="S33" i="18"/>
  <c r="I33" i="18"/>
  <c r="J33" i="18" s="1"/>
  <c r="K33" i="18" s="1"/>
  <c r="L33" i="18" s="1"/>
  <c r="J35" i="7"/>
  <c r="K35" i="7" s="1"/>
  <c r="L35" i="7" s="1"/>
  <c r="U35" i="7"/>
  <c r="S35" i="7"/>
  <c r="R35" i="7"/>
  <c r="V35" i="7"/>
  <c r="P35" i="7"/>
  <c r="AO32" i="18"/>
  <c r="AO33" i="19"/>
  <c r="BL33" i="19"/>
  <c r="BL32" i="18"/>
  <c r="S34" i="19"/>
  <c r="I34" i="19"/>
  <c r="BE32" i="10"/>
  <c r="E33" i="10" s="1"/>
  <c r="V33" i="10" s="1"/>
  <c r="BD32" i="10"/>
  <c r="D33" i="10" s="1"/>
  <c r="U33" i="10" s="1"/>
  <c r="S32" i="10"/>
  <c r="I32" i="10"/>
  <c r="J32" i="10" s="1"/>
  <c r="K32" i="10" s="1"/>
  <c r="L32" i="10" s="1"/>
  <c r="BG32" i="10"/>
  <c r="G33" i="10" s="1"/>
  <c r="X33" i="10" s="1"/>
  <c r="BH32" i="10"/>
  <c r="H33" i="10" s="1"/>
  <c r="Y33" i="10" s="1"/>
  <c r="AR32" i="12"/>
  <c r="B33" i="12" s="1"/>
  <c r="Z32" i="12"/>
  <c r="BJ31" i="10"/>
  <c r="AB31" i="12"/>
  <c r="AC31" i="12" s="1"/>
  <c r="AO31" i="12"/>
  <c r="AO31" i="10"/>
  <c r="AQ33" i="19" l="1"/>
  <c r="K9" i="8"/>
  <c r="I50" i="13"/>
  <c r="C27" i="8"/>
  <c r="I49" i="13"/>
  <c r="AP40" i="13"/>
  <c r="B36" i="9"/>
  <c r="I36" i="9" s="1"/>
  <c r="S36" i="9"/>
  <c r="Z35" i="9"/>
  <c r="AH35" i="9" s="1"/>
  <c r="J35" i="9"/>
  <c r="K35" i="9" s="1"/>
  <c r="L35" i="9" s="1"/>
  <c r="I46" i="9"/>
  <c r="K7" i="8"/>
  <c r="AN40" i="13"/>
  <c r="I48" i="4"/>
  <c r="B13" i="8"/>
  <c r="Y38" i="4"/>
  <c r="W38" i="4"/>
  <c r="I47" i="4"/>
  <c r="K12" i="8" s="1"/>
  <c r="X40" i="4"/>
  <c r="X38" i="12"/>
  <c r="AW38" i="12"/>
  <c r="G38" i="12" s="1"/>
  <c r="V40" i="4"/>
  <c r="AQ32" i="18"/>
  <c r="C26" i="8"/>
  <c r="X35" i="7"/>
  <c r="AP34" i="14"/>
  <c r="AD34" i="9"/>
  <c r="AA34" i="9"/>
  <c r="AB34" i="9" s="1"/>
  <c r="AC34" i="9" s="1"/>
  <c r="AM34" i="9"/>
  <c r="AN34" i="9"/>
  <c r="AK34" i="9"/>
  <c r="AJ34" i="9"/>
  <c r="AH34" i="9"/>
  <c r="BB35" i="15"/>
  <c r="AO34" i="14"/>
  <c r="S35" i="14"/>
  <c r="I35" i="14"/>
  <c r="AD35" i="15"/>
  <c r="AA35" i="15"/>
  <c r="BA35" i="15"/>
  <c r="AM35" i="15"/>
  <c r="AN35" i="15"/>
  <c r="AJ35" i="15"/>
  <c r="AK35" i="15"/>
  <c r="Z33" i="18"/>
  <c r="AT33" i="18" s="1"/>
  <c r="W35" i="7"/>
  <c r="J34" i="19"/>
  <c r="K34" i="19" s="1"/>
  <c r="L34" i="19" s="1"/>
  <c r="Z34" i="19"/>
  <c r="AT34" i="19" s="1"/>
  <c r="S33" i="12"/>
  <c r="I33" i="12"/>
  <c r="J33" i="12" s="1"/>
  <c r="K33" i="12" s="1"/>
  <c r="L33" i="12" s="1"/>
  <c r="BE33" i="10"/>
  <c r="E34" i="10" s="1"/>
  <c r="V34" i="10" s="1"/>
  <c r="BD33" i="10"/>
  <c r="BH33" i="10"/>
  <c r="BG33" i="10"/>
  <c r="G34" i="10" s="1"/>
  <c r="X34" i="10" s="1"/>
  <c r="AD32" i="12"/>
  <c r="AA32" i="12"/>
  <c r="AB32" i="12" s="1"/>
  <c r="AC32" i="12" s="1"/>
  <c r="AY32" i="12"/>
  <c r="AZ32" i="12"/>
  <c r="AN32" i="12"/>
  <c r="AM32" i="12"/>
  <c r="AJ32" i="12"/>
  <c r="AK32" i="12"/>
  <c r="AH32" i="12"/>
  <c r="BB32" i="10"/>
  <c r="B33" i="10" s="1"/>
  <c r="Z32" i="10"/>
  <c r="AH32" i="10" s="1"/>
  <c r="L26" i="8" l="1"/>
  <c r="K13" i="8"/>
  <c r="L27" i="8"/>
  <c r="I40" i="7"/>
  <c r="D8" i="8" s="1"/>
  <c r="I46" i="7"/>
  <c r="U38" i="7"/>
  <c r="R38" i="7"/>
  <c r="S38" i="15"/>
  <c r="AT38" i="15"/>
  <c r="B38" i="15" s="1"/>
  <c r="I38" i="15" s="1"/>
  <c r="I43" i="9"/>
  <c r="P38" i="7"/>
  <c r="B14" i="8"/>
  <c r="B38" i="7"/>
  <c r="I38" i="7" s="1"/>
  <c r="V38" i="12"/>
  <c r="AU38" i="12"/>
  <c r="E38" i="12" s="1"/>
  <c r="Z36" i="9"/>
  <c r="I37" i="9" s="1"/>
  <c r="I39" i="9" s="1"/>
  <c r="AA35" i="9"/>
  <c r="AB35" i="9" s="1"/>
  <c r="AC35" i="9" s="1"/>
  <c r="I38" i="9" s="1"/>
  <c r="AD35" i="9"/>
  <c r="AM35" i="9"/>
  <c r="AK35" i="9"/>
  <c r="AN35" i="9"/>
  <c r="AJ35" i="9"/>
  <c r="C28" i="8"/>
  <c r="AQ34" i="14"/>
  <c r="AO34" i="9"/>
  <c r="Y35" i="7"/>
  <c r="AP35" i="15"/>
  <c r="AO35" i="15"/>
  <c r="H34" i="10"/>
  <c r="Y34" i="10" s="1"/>
  <c r="D34" i="10"/>
  <c r="U34" i="10" s="1"/>
  <c r="BE34" i="10"/>
  <c r="E35" i="10" s="1"/>
  <c r="V35" i="10" s="1"/>
  <c r="BG34" i="10"/>
  <c r="G35" i="10" s="1"/>
  <c r="X35" i="10" s="1"/>
  <c r="AB35" i="15"/>
  <c r="AC35" i="15" s="1"/>
  <c r="AH33" i="18"/>
  <c r="J35" i="14"/>
  <c r="K35" i="14" s="1"/>
  <c r="L35" i="14" s="1"/>
  <c r="BD35" i="14"/>
  <c r="Z35" i="14"/>
  <c r="AA33" i="18"/>
  <c r="AB33" i="18" s="1"/>
  <c r="AC33" i="18" s="1"/>
  <c r="BA33" i="18"/>
  <c r="BK33" i="18"/>
  <c r="AD33" i="18"/>
  <c r="BD33" i="18"/>
  <c r="B34" i="18" s="1"/>
  <c r="BJ33" i="18"/>
  <c r="H34" i="18" s="1"/>
  <c r="Y34" i="18" s="1"/>
  <c r="AZ33" i="18"/>
  <c r="AN33" i="18"/>
  <c r="AH34" i="19"/>
  <c r="AD34" i="19"/>
  <c r="BD34" i="19"/>
  <c r="BA34" i="19"/>
  <c r="AA34" i="19"/>
  <c r="AB34" i="19" s="1"/>
  <c r="AC34" i="19" s="1"/>
  <c r="I40" i="19" s="1"/>
  <c r="G21" i="8" s="1"/>
  <c r="O21" i="8" s="1"/>
  <c r="BK34" i="19"/>
  <c r="Z33" i="12"/>
  <c r="AR33" i="12"/>
  <c r="B34" i="12" s="1"/>
  <c r="I33" i="10"/>
  <c r="J33" i="10" s="1"/>
  <c r="K33" i="10" s="1"/>
  <c r="L33" i="10" s="1"/>
  <c r="S33" i="10"/>
  <c r="AD32" i="10"/>
  <c r="AA32" i="10"/>
  <c r="AB32" i="10" s="1"/>
  <c r="AC32" i="10" s="1"/>
  <c r="BI32" i="10"/>
  <c r="AY32" i="10"/>
  <c r="AK32" i="10"/>
  <c r="AJ32" i="10"/>
  <c r="AM32" i="10"/>
  <c r="AN32" i="10"/>
  <c r="AO32" i="12"/>
  <c r="BJ32" i="10"/>
  <c r="AO35" i="9" l="1"/>
  <c r="I45" i="15"/>
  <c r="W38" i="7"/>
  <c r="X38" i="7"/>
  <c r="D12" i="8" s="1"/>
  <c r="I44" i="9"/>
  <c r="I44" i="7"/>
  <c r="I45" i="7"/>
  <c r="I39" i="7"/>
  <c r="D6" i="8"/>
  <c r="Z38" i="15"/>
  <c r="BA38" i="15"/>
  <c r="AM38" i="15"/>
  <c r="V38" i="7"/>
  <c r="M8" i="8"/>
  <c r="AO33" i="18"/>
  <c r="AP33" i="18"/>
  <c r="AQ35" i="15"/>
  <c r="AP34" i="19"/>
  <c r="S34" i="12"/>
  <c r="I34" i="12"/>
  <c r="J34" i="12" s="1"/>
  <c r="K34" i="12" s="1"/>
  <c r="L34" i="12" s="1"/>
  <c r="BD34" i="10"/>
  <c r="D35" i="10" s="1"/>
  <c r="U35" i="10" s="1"/>
  <c r="BG35" i="10"/>
  <c r="BH34" i="10"/>
  <c r="H35" i="10" s="1"/>
  <c r="Y35" i="10" s="1"/>
  <c r="BE35" i="10"/>
  <c r="BL35" i="14"/>
  <c r="B35" i="19"/>
  <c r="D19" i="8"/>
  <c r="M19" i="8" s="1"/>
  <c r="AH35" i="14"/>
  <c r="AA35" i="14"/>
  <c r="AD35" i="14"/>
  <c r="BK35" i="14"/>
  <c r="BA35" i="14"/>
  <c r="AJ35" i="14"/>
  <c r="AM35" i="14"/>
  <c r="AN35" i="14"/>
  <c r="AK35" i="14"/>
  <c r="BL34" i="19"/>
  <c r="BL33" i="18"/>
  <c r="I34" i="18"/>
  <c r="S34" i="18"/>
  <c r="AO34" i="19"/>
  <c r="BB33" i="10"/>
  <c r="B34" i="10" s="1"/>
  <c r="Z33" i="10"/>
  <c r="AH33" i="10" s="1"/>
  <c r="AY33" i="12"/>
  <c r="AZ33" i="12"/>
  <c r="AD33" i="12"/>
  <c r="AA33" i="12"/>
  <c r="AB33" i="12" s="1"/>
  <c r="AC33" i="12" s="1"/>
  <c r="AJ33" i="12"/>
  <c r="AN33" i="12"/>
  <c r="AM33" i="12"/>
  <c r="AK33" i="12"/>
  <c r="AH33" i="12"/>
  <c r="AO32" i="10"/>
  <c r="AQ33" i="18" l="1"/>
  <c r="AO38" i="15"/>
  <c r="AJ38" i="15"/>
  <c r="V38" i="10"/>
  <c r="E38" i="10"/>
  <c r="M6" i="8"/>
  <c r="I48" i="7"/>
  <c r="D13" i="8"/>
  <c r="D14" i="8" s="1"/>
  <c r="S38" i="14"/>
  <c r="AN38" i="15"/>
  <c r="I41" i="7"/>
  <c r="D9" i="8" s="1"/>
  <c r="D7" i="8"/>
  <c r="I47" i="7"/>
  <c r="M12" i="8" s="1"/>
  <c r="X40" i="7"/>
  <c r="X38" i="10"/>
  <c r="G38" i="10"/>
  <c r="V40" i="7"/>
  <c r="I48" i="14"/>
  <c r="I40" i="15"/>
  <c r="D21" i="8" s="1"/>
  <c r="M21" i="8" s="1"/>
  <c r="I46" i="15"/>
  <c r="AH38" i="15"/>
  <c r="I39" i="15"/>
  <c r="BB38" i="15"/>
  <c r="Y38" i="7"/>
  <c r="AP35" i="14"/>
  <c r="AQ34" i="19"/>
  <c r="Z34" i="12"/>
  <c r="AR34" i="12"/>
  <c r="B35" i="12" s="1"/>
  <c r="I34" i="10"/>
  <c r="J34" i="10" s="1"/>
  <c r="K34" i="10" s="1"/>
  <c r="L34" i="10" s="1"/>
  <c r="S34" i="10"/>
  <c r="BD35" i="10"/>
  <c r="BH35" i="10"/>
  <c r="AO35" i="14"/>
  <c r="AB35" i="14"/>
  <c r="AC35" i="14" s="1"/>
  <c r="I35" i="19"/>
  <c r="J35" i="19" s="1"/>
  <c r="K35" i="19" s="1"/>
  <c r="L35" i="19" s="1"/>
  <c r="S35" i="19"/>
  <c r="Z34" i="18"/>
  <c r="J34" i="18"/>
  <c r="K34" i="18" s="1"/>
  <c r="L34" i="18" s="1"/>
  <c r="BJ33" i="10"/>
  <c r="AD33" i="10"/>
  <c r="AA33" i="10"/>
  <c r="AB33" i="10" s="1"/>
  <c r="AC33" i="10" s="1"/>
  <c r="BI33" i="10"/>
  <c r="AY33" i="10"/>
  <c r="AN33" i="10"/>
  <c r="AJ33" i="10"/>
  <c r="AK33" i="10"/>
  <c r="AM33" i="10"/>
  <c r="AO33" i="12"/>
  <c r="I50" i="15" l="1"/>
  <c r="D27" i="8"/>
  <c r="M27" i="8" s="1"/>
  <c r="AN40" i="15"/>
  <c r="M7" i="8"/>
  <c r="AH38" i="14"/>
  <c r="M13" i="8"/>
  <c r="D20" i="8"/>
  <c r="M20" i="8" s="1"/>
  <c r="I41" i="15"/>
  <c r="D22" i="8" s="1"/>
  <c r="M22" i="8" s="1"/>
  <c r="U38" i="10"/>
  <c r="D38" i="10"/>
  <c r="AP38" i="15"/>
  <c r="Y38" i="10"/>
  <c r="H38" i="10"/>
  <c r="M9" i="8"/>
  <c r="Z38" i="14"/>
  <c r="I39" i="14" s="1"/>
  <c r="I40" i="14"/>
  <c r="B21" i="8" s="1"/>
  <c r="K21" i="8" s="1"/>
  <c r="D38" i="14"/>
  <c r="H38" i="14"/>
  <c r="B38" i="14"/>
  <c r="E38" i="14"/>
  <c r="G38" i="14"/>
  <c r="AM38" i="14"/>
  <c r="AQ35" i="14"/>
  <c r="I35" i="12"/>
  <c r="S35" i="12"/>
  <c r="AY34" i="12"/>
  <c r="AZ34" i="12"/>
  <c r="AD34" i="12"/>
  <c r="AA34" i="12"/>
  <c r="AB34" i="12" s="1"/>
  <c r="AC34" i="12" s="1"/>
  <c r="AN34" i="12"/>
  <c r="AJ34" i="12"/>
  <c r="AM34" i="12"/>
  <c r="AK34" i="12"/>
  <c r="AH34" i="12"/>
  <c r="BB34" i="10"/>
  <c r="B35" i="10" s="1"/>
  <c r="Z34" i="10"/>
  <c r="Z35" i="19"/>
  <c r="AT35" i="19" s="1"/>
  <c r="AA34" i="18"/>
  <c r="BA34" i="18"/>
  <c r="BK34" i="18"/>
  <c r="AD34" i="18"/>
  <c r="BD34" i="18"/>
  <c r="BJ34" i="18"/>
  <c r="Y37" i="18" s="1"/>
  <c r="AN34" i="18"/>
  <c r="AZ34" i="18"/>
  <c r="AH34" i="18"/>
  <c r="AT34" i="18"/>
  <c r="AO33" i="10"/>
  <c r="AN38" i="14" l="1"/>
  <c r="AN40" i="14"/>
  <c r="I49" i="15"/>
  <c r="AP40" i="15"/>
  <c r="D26" i="8"/>
  <c r="D28" i="8" s="1"/>
  <c r="I38" i="14"/>
  <c r="B20" i="8"/>
  <c r="K20" i="8" s="1"/>
  <c r="I41" i="14"/>
  <c r="B22" i="8" s="1"/>
  <c r="K22" i="8" s="1"/>
  <c r="AP38" i="14"/>
  <c r="AJ38" i="14"/>
  <c r="S37" i="18"/>
  <c r="AP34" i="18"/>
  <c r="AO34" i="12"/>
  <c r="Z35" i="12"/>
  <c r="AH35" i="12" s="1"/>
  <c r="AR35" i="12"/>
  <c r="J35" i="12"/>
  <c r="K35" i="12" s="1"/>
  <c r="L35" i="12" s="1"/>
  <c r="AY34" i="10"/>
  <c r="BJ34" i="10"/>
  <c r="AD34" i="10"/>
  <c r="AA34" i="10"/>
  <c r="AB34" i="10" s="1"/>
  <c r="AC34" i="10" s="1"/>
  <c r="BI34" i="10"/>
  <c r="AM34" i="10"/>
  <c r="AK34" i="10"/>
  <c r="AJ34" i="10"/>
  <c r="AN34" i="10"/>
  <c r="S35" i="10"/>
  <c r="I35" i="10"/>
  <c r="AH34" i="10"/>
  <c r="BD35" i="19"/>
  <c r="AA35" i="19"/>
  <c r="AB35" i="19" s="1"/>
  <c r="AC35" i="19" s="1"/>
  <c r="BA35" i="19"/>
  <c r="AD35" i="19"/>
  <c r="BK35" i="19"/>
  <c r="BL34" i="18"/>
  <c r="AH35" i="19"/>
  <c r="AO34" i="18"/>
  <c r="AB34" i="18"/>
  <c r="AC34" i="18" s="1"/>
  <c r="I47" i="18" l="1"/>
  <c r="BL35" i="19"/>
  <c r="AO38" i="14"/>
  <c r="I46" i="14"/>
  <c r="I45" i="14"/>
  <c r="B19" i="8"/>
  <c r="I49" i="14"/>
  <c r="AP40" i="14"/>
  <c r="B26" i="8"/>
  <c r="M26" i="8"/>
  <c r="I50" i="14"/>
  <c r="B27" i="8"/>
  <c r="Z37" i="18"/>
  <c r="I38" i="18" s="1"/>
  <c r="AO34" i="10"/>
  <c r="AP35" i="19"/>
  <c r="AQ34" i="18"/>
  <c r="G27" i="8"/>
  <c r="O27" i="8" s="1"/>
  <c r="AO35" i="19"/>
  <c r="AD35" i="12"/>
  <c r="AA35" i="12"/>
  <c r="AY35" i="12"/>
  <c r="AZ35" i="12"/>
  <c r="AN35" i="12"/>
  <c r="AJ35" i="12"/>
  <c r="AM35" i="12"/>
  <c r="AK35" i="12"/>
  <c r="J35" i="10"/>
  <c r="K35" i="10" s="1"/>
  <c r="L35" i="10" s="1"/>
  <c r="BB35" i="10"/>
  <c r="Z35" i="10"/>
  <c r="I40" i="18" l="1"/>
  <c r="F22" i="8" s="1"/>
  <c r="N22" i="8" s="1"/>
  <c r="F20" i="8"/>
  <c r="N20" i="8" s="1"/>
  <c r="AH37" i="18"/>
  <c r="B28" i="8"/>
  <c r="I48" i="12"/>
  <c r="K19" i="8"/>
  <c r="S38" i="12"/>
  <c r="Z38" i="12" s="1"/>
  <c r="AR38" i="12"/>
  <c r="K26" i="8"/>
  <c r="K27" i="8"/>
  <c r="AO35" i="12"/>
  <c r="H37" i="18"/>
  <c r="I39" i="18"/>
  <c r="F21" i="8" s="1"/>
  <c r="N21" i="8" s="1"/>
  <c r="AQ35" i="19"/>
  <c r="AB35" i="12"/>
  <c r="AC35" i="12" s="1"/>
  <c r="AA35" i="10"/>
  <c r="BI35" i="10"/>
  <c r="AD35" i="10"/>
  <c r="AY35" i="10"/>
  <c r="BJ35" i="10"/>
  <c r="AK35" i="10"/>
  <c r="AM35" i="10"/>
  <c r="AN35" i="10"/>
  <c r="AJ35" i="10"/>
  <c r="AH35" i="10"/>
  <c r="AN37" i="18" l="1"/>
  <c r="S38" i="19"/>
  <c r="AO37" i="18"/>
  <c r="I48" i="19"/>
  <c r="I40" i="12"/>
  <c r="B38" i="12"/>
  <c r="I38" i="12" s="1"/>
  <c r="AY38" i="12"/>
  <c r="I39" i="12"/>
  <c r="I41" i="12" s="1"/>
  <c r="AZ38" i="12"/>
  <c r="B37" i="18"/>
  <c r="I37" i="18" s="1"/>
  <c r="AO35" i="10"/>
  <c r="AB35" i="10"/>
  <c r="AC35" i="10" s="1"/>
  <c r="AH38" i="19" l="1"/>
  <c r="AP38" i="19"/>
  <c r="AP37" i="18"/>
  <c r="I49" i="18"/>
  <c r="F27" i="8"/>
  <c r="Z38" i="19"/>
  <c r="I39" i="19" s="1"/>
  <c r="B38" i="19"/>
  <c r="I38" i="19" s="1"/>
  <c r="I44" i="18"/>
  <c r="I45" i="18"/>
  <c r="AN39" i="18"/>
  <c r="I48" i="10"/>
  <c r="I46" i="12"/>
  <c r="I45" i="12"/>
  <c r="S38" i="10"/>
  <c r="B38" i="10"/>
  <c r="I38" i="10" s="1"/>
  <c r="F19" i="8"/>
  <c r="N19" i="8" s="1"/>
  <c r="N27" i="8" l="1"/>
  <c r="AO38" i="19"/>
  <c r="I49" i="19"/>
  <c r="AP40" i="19"/>
  <c r="G26" i="8"/>
  <c r="I48" i="18"/>
  <c r="AP39" i="18"/>
  <c r="F26" i="8"/>
  <c r="I46" i="19"/>
  <c r="I45" i="19"/>
  <c r="G19" i="8"/>
  <c r="O19" i="8" s="1"/>
  <c r="G20" i="8"/>
  <c r="O20" i="8" s="1"/>
  <c r="I41" i="19"/>
  <c r="G22" i="8" s="1"/>
  <c r="O22" i="8" s="1"/>
  <c r="Z38" i="10"/>
  <c r="I39" i="10" s="1"/>
  <c r="I41" i="10" s="1"/>
  <c r="I40" i="10"/>
  <c r="I45" i="10"/>
  <c r="I46" i="10" l="1"/>
  <c r="F28" i="8"/>
  <c r="N26" i="8"/>
  <c r="G28" i="8"/>
  <c r="O26" i="8"/>
</calcChain>
</file>

<file path=xl/sharedStrings.xml><?xml version="1.0" encoding="utf-8"?>
<sst xmlns="http://schemas.openxmlformats.org/spreadsheetml/2006/main" count="764" uniqueCount="178">
  <si>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</si>
  <si>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</si>
  <si>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</si>
  <si>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</si>
  <si>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</si>
  <si>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</si>
  <si>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</si>
  <si>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</si>
  <si>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</si>
  <si>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</si>
  <si>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</si>
  <si>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</si>
  <si>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</si>
  <si>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</si>
  <si>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</si>
  <si>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End of year performance for non-rebalance portfolio based solely on annual fund performance.  Manually adjust standard deviation for number of periods</t>
  </si>
  <si>
    <t>Year</t>
  </si>
  <si>
    <t>1. Return Data from Morningstar</t>
  </si>
  <si>
    <t>LC Stocks</t>
  </si>
  <si>
    <t>Ext Mkt</t>
  </si>
  <si>
    <t>Mcap Stk</t>
  </si>
  <si>
    <t>Small Cap</t>
  </si>
  <si>
    <t>VFINX</t>
  </si>
  <si>
    <t>VEXMX</t>
  </si>
  <si>
    <t>VIMSX</t>
  </si>
  <si>
    <t>NAESX</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</si>
  <si>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</si>
  <si>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</si>
  <si>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</si>
  <si>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</si>
  <si>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</si>
  <si>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</si>
  <si>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</si>
  <si>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</si>
  <si>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</si>
  <si>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</si>
  <si>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</si>
  <si>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</si>
  <si>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</si>
  <si>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</si>
  <si>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</si>
  <si>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</si>
  <si>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</si>
  <si>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</si>
  <si>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</si>
  <si>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</si>
  <si>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</si>
  <si>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</si>
  <si>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</si>
  <si>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</si>
  <si>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</si>
  <si>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</si>
  <si>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</si>
  <si>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</si>
  <si>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</si>
  <si>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</si>
  <si>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</si>
  <si>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</si>
  <si>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</si>
  <si>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</si>
  <si>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</si>
  <si>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Total International Stock (VGTSX) has Developed &amp; Emerging Market stocks</t>
  </si>
  <si>
    <t>1A</t>
  </si>
  <si>
    <t>CPI Data downloaded from Econostats. Most current data is preliminary; all other is end of year</t>
  </si>
  <si>
    <t>3. Withdrawal Amount</t>
  </si>
  <si>
    <t>6. Allocations Test - False Values Signal Rebalancing Needed</t>
  </si>
  <si>
    <t>When a new year of data is added, new rows must be added to all spreadsheets</t>
  </si>
  <si>
    <t>All items shaded in Orange are manually adjusted; all other are based on formulas</t>
  </si>
  <si>
    <t>Rebalancing is done manually; including blue shading of cells</t>
  </si>
  <si>
    <t>Rebalancing required at the end of 2013</t>
  </si>
  <si>
    <t>Portfolio Strategy</t>
  </si>
  <si>
    <t>Rebalance at 5% Thresholds</t>
  </si>
  <si>
    <t>Total Return</t>
  </si>
  <si>
    <t>Annualized Return</t>
  </si>
  <si>
    <t>Largest Annual Loss</t>
  </si>
  <si>
    <t>Final</t>
  </si>
  <si>
    <t>CPI</t>
  </si>
  <si>
    <t>Total Withdrawals</t>
  </si>
  <si>
    <t>Return data from Morningstar; available in truncated form in AAII's Mutual Fund Guide</t>
  </si>
  <si>
    <t>CPI  (CPI-U - US city average all urban consumers ) seas adj data used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</si>
  <si>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</si>
  <si>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</si>
  <si>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Panic Portfolio</t>
  </si>
  <si>
    <t>Allocations are calculated post withdrawals</t>
  </si>
  <si>
    <t>Adjust return and standard deviation calculations to reflect addition of new year</t>
  </si>
  <si>
    <t>4. Panic Grid</t>
  </si>
  <si>
    <t>6. Panic Grid</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</si>
  <si>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</si>
  <si>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</si>
  <si>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</si>
  <si>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</si>
  <si>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Ending Equity Allocation</t>
  </si>
  <si>
    <t>Ending Fixed-Income Allocation</t>
  </si>
  <si>
    <t>Allocation Check</t>
  </si>
  <si>
    <t>1A. Geometric Mean of Fund Retunrs</t>
  </si>
  <si>
    <t>Panic and Sell When S&amp;P 500 Falls &gt; 20%</t>
  </si>
  <si>
    <t>Table 3. Returns from Starting in 2007</t>
  </si>
  <si>
    <t>No Rebalancing</t>
  </si>
  <si>
    <t>2. Non-Rebalanced Strategy - End of Year Balance</t>
  </si>
  <si>
    <t>2. Panic Strategy - End of Year Balance</t>
  </si>
  <si>
    <t>3. Panic Strategy - Annual Allocations</t>
  </si>
  <si>
    <t>4. Panic Strategy - Withdrawal Equal Amounts from All Funds</t>
  </si>
  <si>
    <t>5. Panic Strategy - Annual Allocations</t>
  </si>
  <si>
    <t>2. Rebalanced Strategy (5% Triggers) - End of Year Balance</t>
  </si>
  <si>
    <t>4. Rebalanced Strategy - Withdrawal Equal Amounts from All Funds</t>
  </si>
  <si>
    <t>5. Rebalanced Strategy - Annual Allocations</t>
  </si>
  <si>
    <t>7. Rebalanced Strategy (5% Triggers) - Rebalance Grid</t>
  </si>
  <si>
    <t>4. Non-Rebalanced Strategy - Withdrawal Equal Amounts from All Funds</t>
  </si>
  <si>
    <t>5. Non-Rebalanced Strategy - Annual Allocations</t>
  </si>
  <si>
    <t>3. Rebalanced Strategy (5% Triggers) - Allocations Prior to Rebalancing</t>
  </si>
  <si>
    <t>4. Rebalanced Strategy Allocations Test - False Values Signal Rebalancing Needed</t>
  </si>
  <si>
    <t>5. Rebalanced Strategy (5% Triggers) - Rebalance Grid</t>
  </si>
  <si>
    <t>3. Non-Rebalanced Strategy Annual Allocations</t>
  </si>
  <si>
    <t>Non-Rebalanced Strategy</t>
  </si>
  <si>
    <t>Portfolio allocations - per fund dollar amount divided by portfolio's total balance</t>
  </si>
  <si>
    <t>Rebalanced Strategy</t>
  </si>
  <si>
    <t>Annual return information for funds; data pulls from Non-Rebalanced Strategy tab</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</si>
  <si>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</si>
  <si>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</si>
  <si>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Withdrawals are made evenly from all funds. The calculation is simply the withdrawal amount divided by the number of funds used. Five funds used. The formula would need to be adjusted if additional or fewer funds used are used.</t>
  </si>
  <si>
    <t>Post-withdrawal portfolio allocations - per fund dollar amount divided by portfolio's total balance from Table 4.</t>
  </si>
  <si>
    <t>CPI Data pulled from 4% Withdrawals - No Rebalancing tab.</t>
  </si>
  <si>
    <t>Year-end allocations are calculated after withdrawal amounts have been deducted. Rebalance if allocations are five percentage points above or below.  Numbers in blue (manually shaded) are signals to rebalance.</t>
  </si>
  <si>
    <t>Used for rebalancing the portfolio. Numbers pull from Table 4 unless rebalancing is necessary. If rebalancing is necessary, allocations are adjusted back to targets for all funds based numbers in Table 4. Rebalanced cells are shaded in blue. Balance check should always equal $0.00</t>
  </si>
  <si>
    <t>Withdrawals are made evenly from all funds. The calculation is simply the withdrawal amount divided by the number of funds used. Five funds used in most years; one fund used in 2003 and 2009 to reflect panicking. The formula would need to be adjusted if additional or fewer funds used are used.</t>
  </si>
  <si>
    <t>Annual balances calculated using end of year post-withdrawal data for previous years times fund returns for current year (Table 4), since all data beyond 2007 factors in withdrawals. 2007 returns are pre-withdrawals. Largest drawdown and worse return calculated before withdrawals to show impact of market on the portfolio. No rebalancing occurs.</t>
  </si>
  <si>
    <t xml:space="preserve">Annual balances calculated using end of year post-withdrawal data for previous years times fund returns for current year (Table 7), since all data beyond 2007 factors in withdrawals and rebalancing. 2007 returns are pre-withdrawals. Returns calculated before any rebalancing adjustments are made for that specific year. Largest drawdown and worse return calculated before withdrawals and rebalancing to show impact of market on the portfolio. </t>
  </si>
  <si>
    <t>End of year performance calculated as balances from prior year times fund return for current year in Table 5. 2007 end of year balance based solely on annual fund performance.  Manually adjust standard deviation for number of periods</t>
  </si>
  <si>
    <t>Portfolio allocations - per fund dollar amount divided by portfolio's total balance.  Rebalance if allocations are five percentage points above or below.  Numbers in blue (manually shaded) are signals to rebalance.</t>
  </si>
  <si>
    <t>End of year performance calculated as balances from prior year (table 4) times fund return for current year (table 1). 2007 end of year balance based solely on annual fund performance. Manually adjust standard deviation for number of periods.</t>
  </si>
  <si>
    <t xml:space="preserve">Annual balances calculated using end of year post-withdrawal data for previous years times fund returns for current year (Table 4), since all data beyond 2007 factors in withdrawals. 2007 returns are pre-withdrawals. Returns calculated before any panicking adjustments are made for that specific year. Starting values for 2008 and beyond are from Table 6, and reflect any adjustments for panicking. Largest drawdown and worse return calculated before withdrawals to show impact of market on the portfolio. 
</t>
  </si>
  <si>
    <t>1A. CPI Data</t>
  </si>
  <si>
    <t>CPI Data from Econostats thru 2013, data from FRED for 2014 forward used</t>
  </si>
  <si>
    <t>https://research.stlouisfed.org/fred2/series/CPIAUCSL</t>
  </si>
  <si>
    <t>Gain/Loss Check</t>
  </si>
  <si>
    <t>Withdrawal Check</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</si>
  <si>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</si>
  <si>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</si>
  <si>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</si>
  <si>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Years</t>
  </si>
  <si>
    <t>60/40 Allocation</t>
  </si>
  <si>
    <t>S&amp;P 500 Only</t>
  </si>
  <si>
    <t>4.5% &amp; 4% Withdrawals-No Rebalancing</t>
  </si>
  <si>
    <t>Withdrawal amount starts at 4.5% (4%) of year-end 2007 balance. Initial amount is adjusted upwards annually based on change in CPI using data in Table 1A.</t>
  </si>
  <si>
    <t>4.5% and 4% Withdrawals-Rebalancing</t>
  </si>
  <si>
    <t>Withdrawal amount starts at 4.5% (4%) of year-end 2000 balance. Initial amount is adjusted upwards annually based on change in CPI using data in Table 1A.</t>
  </si>
  <si>
    <t>4.5% and 4% Withdrawals-Panic</t>
  </si>
  <si>
    <t>Withdrawal amount starts at 4.5% (4%) of year-end 2007 balance. Initial amount is adjusted upwards annually based on change in CPI.</t>
  </si>
  <si>
    <t>4.5% Withdrawals-60-40 Portfolio</t>
  </si>
  <si>
    <t>CPI Data pulled from 4.5% Withdrawals - No Rebalancing tab.</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</si>
  <si>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</si>
  <si>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</si>
  <si>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</si>
  <si>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4.5% SP500</t>
  </si>
  <si>
    <t>Withdrawal amount starts at 4.5% (4%) of year-end 1988 balance. Initial amount is adjusted upwards annually based on change in CPI using data in Table 1A</t>
  </si>
  <si>
    <t>Withdrawals are made from S&amp;P 500 fund</t>
  </si>
  <si>
    <t xml:space="preserve">Annual balances calculated using end of year post-withdrawal data for previous years times fund returns for current year (Table 4), since all data beyond 2007 factors in withdrawals. 2007 returns are pre-withdrawals. Largest drawdown and worse return calculated before withdrawals to show impact of market on the portfolio. No rebalancing occurs.
</t>
  </si>
  <si>
    <t>60-40 Portfolio</t>
  </si>
  <si>
    <t>Portfolio allocations - per fund dollar amount divided by portfolio's total balance.  Rebalance each year back to 60% large-cap stock/40% bond allocation</t>
  </si>
  <si>
    <t xml:space="preserve">A test to see if rebalancing would have been needed if five-percentage point bands were used. Allocations above or below targets by more than five percentage points are flagged as being "FALSE." </t>
  </si>
  <si>
    <t>Used for rebalancing the portfolio. Allocations are adjusted back to targets for all funds annually. Balance check should always equal $0.00</t>
  </si>
  <si>
    <t>SP500 Only Portfolio</t>
  </si>
  <si>
    <t>End of year performance calculated as balances from prior year (Table 5) times fund return for current year (Table 1). 2007 end of year balance based solely on annual fund performance (Table 1).  Manually adjust standard deviation for number of periods.</t>
  </si>
  <si>
    <t>1988 first calendar year with full-year data for VEXMX</t>
  </si>
  <si>
    <t>Extended Market (VEXMX) has both mid &amp; small-cap stocks; rotated out of it when VIMSX available</t>
  </si>
  <si>
    <t>Small Cap (NAESX) data available from 1988, but not Mid Cap (VIMSX)</t>
  </si>
  <si>
    <t>International Value (VTRIX) is an active fund; only used until index alternative became available</t>
  </si>
  <si>
    <t>Effective 2018 - Admiral Shares used for all funds to reflect change by Vanguard; investor class used for 1988-2017</t>
  </si>
  <si>
    <t>Tickers listed in lines 6-13 are for Investor Shares; Admiral Share tickers displayed at top of spreadsheets now</t>
  </si>
  <si>
    <t>Ending</t>
  </si>
  <si>
    <t>Equals Most Recent Year</t>
  </si>
  <si>
    <t>Equity</t>
  </si>
  <si>
    <t>Allocation</t>
  </si>
  <si>
    <t>Data Check</t>
  </si>
  <si>
    <t>Ending Bond Allocation</t>
  </si>
  <si>
    <t>The moderate portfolio allocation was changed at the start of 2021. The revised allocations are below.</t>
  </si>
  <si>
    <t>Non-Withdrawal Portfolio Results (2007 - 2020)</t>
  </si>
  <si>
    <t>Withdrawal Portfolio Results (2007 - 2020)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</si>
</sst>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3"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sz val="8"/>
      <name val="Verdana"/>
      <family val="2"/>
    </font>
    <font>
      <sz val="11"/>
      <color indexed="8"/>
      <name val="Calibri"/>
      <family val="2"/>
    </font>
    <font>
      <b/>
      <sz val="1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4.9989318521683403E-2"/>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84">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3" fillId="4" borderId="0" xfId="0" applyFont="1" applyFill="1"/>
    <xf numFmtId="2" fontId="3" fillId="4" borderId="0" xfId="0" applyNumberFormat="1" applyFont="1" applyFill="1"/>
    <xf numFmtId="0" fontId="4"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6" borderId="0" xfId="0" applyNumberFormat="1" applyFill="1"/>
    <xf numFmtId="164" fontId="0" fillId="3" borderId="0" xfId="1" applyNumberFormat="1" applyFont="1" applyFill="1" applyBorder="1"/>
    <xf numFmtId="10" fontId="5"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6" fillId="0" borderId="0" xfId="0" applyFont="1"/>
    <xf numFmtId="164" fontId="0" fillId="6"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7"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6" fillId="0" borderId="0" xfId="0" applyFont="1" applyBorder="1"/>
    <xf numFmtId="0" fontId="6" fillId="0" borderId="0" xfId="0" applyFont="1" applyAlignment="1">
      <alignment horizontal="left"/>
    </xf>
    <xf numFmtId="9" fontId="0" fillId="4" borderId="0" xfId="1" applyFont="1" applyFill="1"/>
    <xf numFmtId="6" fontId="0" fillId="7" borderId="0" xfId="0" applyNumberFormat="1" applyFill="1"/>
    <xf numFmtId="9" fontId="0" fillId="0" borderId="0" xfId="1" applyNumberFormat="1" applyFont="1"/>
    <xf numFmtId="6" fontId="11" fillId="0" borderId="1" xfId="0" applyNumberFormat="1" applyFont="1" applyBorder="1"/>
    <xf numFmtId="164" fontId="0" fillId="0" borderId="0" xfId="1" applyNumberFormat="1" applyFont="1" applyFill="1"/>
    <xf numFmtId="6" fontId="0" fillId="0" borderId="0" xfId="0" applyNumberFormat="1" applyFill="1"/>
    <xf numFmtId="164" fontId="0" fillId="2" borderId="0" xfId="1" applyNumberFormat="1" applyFont="1" applyFill="1"/>
    <xf numFmtId="164" fontId="3" fillId="4" borderId="0" xfId="1" applyNumberFormat="1" applyFont="1" applyFill="1"/>
    <xf numFmtId="0" fontId="0" fillId="4" borderId="0" xfId="0" applyFill="1" applyAlignment="1">
      <alignment horizontal="right"/>
    </xf>
    <xf numFmtId="0" fontId="12" fillId="0" borderId="0" xfId="0" applyFont="1"/>
    <xf numFmtId="0" fontId="4" fillId="3" borderId="0" xfId="0" applyFont="1" applyFill="1"/>
    <xf numFmtId="10" fontId="0" fillId="0" borderId="0" xfId="0" applyNumberFormat="1" applyFill="1"/>
    <xf numFmtId="0" fontId="0" fillId="9" borderId="0" xfId="0" applyFill="1"/>
    <xf numFmtId="10" fontId="4" fillId="0" borderId="0" xfId="0" applyNumberFormat="1" applyFont="1"/>
    <xf numFmtId="9" fontId="0" fillId="0" borderId="0" xfId="0" applyNumberFormat="1" applyFill="1"/>
    <xf numFmtId="0" fontId="0" fillId="0" borderId="1" xfId="0" applyBorder="1"/>
    <xf numFmtId="164" fontId="0" fillId="0" borderId="1" xfId="0" applyNumberFormat="1" applyBorder="1"/>
    <xf numFmtId="0" fontId="0" fillId="5" borderId="0" xfId="0" applyFill="1"/>
    <xf numFmtId="0" fontId="0" fillId="5" borderId="0" xfId="0" applyFill="1" applyAlignment="1">
      <alignment horizontal="right"/>
    </xf>
    <xf numFmtId="164" fontId="0" fillId="5" borderId="0" xfId="0" applyNumberFormat="1" applyFill="1"/>
    <xf numFmtId="164" fontId="0" fillId="0" borderId="0" xfId="0" applyNumberFormat="1" applyBorder="1"/>
    <xf numFmtId="0" fontId="0" fillId="0" borderId="0" xfId="0" applyBorder="1"/>
    <xf numFmtId="164" fontId="0" fillId="5" borderId="0" xfId="0" applyNumberFormat="1" applyFill="1" applyBorder="1"/>
    <xf numFmtId="0" fontId="0" fillId="10" borderId="0" xfId="0" applyFill="1"/>
    <xf numFmtId="0" fontId="0" fillId="10" borderId="2" xfId="0" applyFill="1" applyBorder="1" applyAlignment="1">
      <alignment horizontal="right" wrapText="1"/>
    </xf>
    <xf numFmtId="0" fontId="0" fillId="10" borderId="1" xfId="0" applyFill="1" applyBorder="1"/>
    <xf numFmtId="164" fontId="0" fillId="10" borderId="0" xfId="1" applyNumberFormat="1" applyFont="1" applyFill="1" applyBorder="1"/>
    <xf numFmtId="0" fontId="0" fillId="11" borderId="0" xfId="0" applyFill="1"/>
    <xf numFmtId="164" fontId="0" fillId="11" borderId="0" xfId="0" applyNumberFormat="1" applyFill="1"/>
    <xf numFmtId="165" fontId="3" fillId="4" borderId="0" xfId="0" applyNumberFormat="1" applyFont="1" applyFill="1"/>
    <xf numFmtId="1" fontId="3" fillId="4" borderId="0" xfId="0" applyNumberFormat="1" applyFont="1"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4"/>
  <sheetViews>
    <sheetView workbookViewId="0">
      <selection activeCell="A10" sqref="A10:A11"/>
    </sheetView>
  </sheetViews>
  <sheetFormatPr baseColWidth="10" defaultColWidth="8.83203125" defaultRowHeight="15" x14ac:dyDescent="0.2"/>
  <cols>
    <col min="2" max="2" width="84.1640625" style="8" customWidth="1"/>
  </cols>
  <sheetData>
    <row r="1" spans="1:2" x14ac:dyDescent="0.2">
      <c r="A1" s="18" t="s">
        <v>57</v>
      </c>
    </row>
    <row r="3" spans="1:2" x14ac:dyDescent="0.2">
      <c r="A3" s="50" t="s">
        <v>11</v>
      </c>
    </row>
    <row r="4" spans="1:2" x14ac:dyDescent="0.2">
      <c r="A4" t="s">
        <v>66</v>
      </c>
    </row>
    <row r="5" spans="1:2" x14ac:dyDescent="0.2">
      <c r="A5" t="s">
        <v>84</v>
      </c>
    </row>
    <row r="6" spans="1:2" x14ac:dyDescent="0.2">
      <c r="A6" t="s">
        <v>67</v>
      </c>
    </row>
    <row r="7" spans="1:2" x14ac:dyDescent="0.2">
      <c r="A7" t="s">
        <v>68</v>
      </c>
    </row>
    <row r="8" spans="1:2" x14ac:dyDescent="0.2">
      <c r="A8" t="s">
        <v>13</v>
      </c>
    </row>
    <row r="9" spans="1:2" x14ac:dyDescent="0.2">
      <c r="A9" t="s">
        <v>14</v>
      </c>
    </row>
    <row r="14" spans="1:2" x14ac:dyDescent="0.2">
      <c r="A14" s="51" t="s">
        <v>113</v>
      </c>
    </row>
    <row r="15" spans="1:2" x14ac:dyDescent="0.2">
      <c r="A15" s="30" t="s">
        <v>55</v>
      </c>
    </row>
    <row r="16" spans="1:2" ht="32" x14ac:dyDescent="0.2">
      <c r="A16" s="30">
        <v>1</v>
      </c>
      <c r="B16" s="8" t="s">
        <v>58</v>
      </c>
    </row>
    <row r="17" spans="1:2" ht="32" x14ac:dyDescent="0.2">
      <c r="A17" s="30">
        <v>2</v>
      </c>
      <c r="B17" s="8" t="s">
        <v>15</v>
      </c>
    </row>
    <row r="18" spans="1:2" ht="16" x14ac:dyDescent="0.2">
      <c r="A18" s="30">
        <v>3</v>
      </c>
      <c r="B18" s="8" t="s">
        <v>114</v>
      </c>
    </row>
    <row r="19" spans="1:2" x14ac:dyDescent="0.2">
      <c r="A19" s="30"/>
    </row>
    <row r="20" spans="1:2" x14ac:dyDescent="0.2">
      <c r="A20" s="30"/>
    </row>
    <row r="21" spans="1:2" x14ac:dyDescent="0.2">
      <c r="A21" s="52" t="s">
        <v>115</v>
      </c>
    </row>
    <row r="22" spans="1:2" x14ac:dyDescent="0.2">
      <c r="A22" s="30" t="s">
        <v>55</v>
      </c>
    </row>
    <row r="23" spans="1:2" ht="16" x14ac:dyDescent="0.2">
      <c r="A23" s="30">
        <v>1</v>
      </c>
      <c r="B23" s="8" t="s">
        <v>116</v>
      </c>
    </row>
    <row r="24" spans="1:2" ht="48" x14ac:dyDescent="0.2">
      <c r="A24" s="30">
        <v>2</v>
      </c>
      <c r="B24" s="8" t="s">
        <v>127</v>
      </c>
    </row>
    <row r="25" spans="1:2" ht="32" x14ac:dyDescent="0.2">
      <c r="A25" s="30">
        <v>3</v>
      </c>
      <c r="B25" s="8" t="s">
        <v>128</v>
      </c>
    </row>
    <row r="26" spans="1:2" ht="32" x14ac:dyDescent="0.2">
      <c r="A26" s="30">
        <v>4</v>
      </c>
      <c r="B26" s="8" t="s">
        <v>80</v>
      </c>
    </row>
    <row r="27" spans="1:2" ht="48" x14ac:dyDescent="0.2">
      <c r="A27" s="30">
        <v>5</v>
      </c>
      <c r="B27" s="8" t="s">
        <v>81</v>
      </c>
    </row>
    <row r="28" spans="1:2" x14ac:dyDescent="0.2">
      <c r="A28" s="30"/>
    </row>
    <row r="29" spans="1:2" x14ac:dyDescent="0.2">
      <c r="A29" s="30"/>
    </row>
    <row r="30" spans="1:2" x14ac:dyDescent="0.2">
      <c r="A30" s="52" t="s">
        <v>82</v>
      </c>
    </row>
    <row r="31" spans="1:2" x14ac:dyDescent="0.2">
      <c r="A31" s="30" t="s">
        <v>55</v>
      </c>
    </row>
    <row r="32" spans="1:2" ht="16" x14ac:dyDescent="0.2">
      <c r="A32" s="30">
        <v>1</v>
      </c>
      <c r="B32" s="8" t="s">
        <v>116</v>
      </c>
    </row>
    <row r="33" spans="1:2" ht="48" x14ac:dyDescent="0.2">
      <c r="A33" s="30">
        <v>2</v>
      </c>
      <c r="B33" s="8" t="s">
        <v>129</v>
      </c>
    </row>
    <row r="34" spans="1:2" ht="48" x14ac:dyDescent="0.2">
      <c r="A34" s="30">
        <v>3</v>
      </c>
      <c r="B34" s="8" t="s">
        <v>117</v>
      </c>
    </row>
    <row r="35" spans="1:2" ht="48" x14ac:dyDescent="0.2">
      <c r="A35" s="30">
        <v>4</v>
      </c>
      <c r="B35" s="8" t="s">
        <v>118</v>
      </c>
    </row>
    <row r="36" spans="1:2" x14ac:dyDescent="0.2">
      <c r="A36" s="30"/>
    </row>
    <row r="37" spans="1:2" x14ac:dyDescent="0.2">
      <c r="A37" s="30"/>
    </row>
    <row r="38" spans="1:2" x14ac:dyDescent="0.2">
      <c r="A38" s="33" t="s">
        <v>157</v>
      </c>
    </row>
    <row r="39" spans="1:2" x14ac:dyDescent="0.2">
      <c r="A39" s="30" t="s">
        <v>55</v>
      </c>
    </row>
    <row r="40" spans="1:2" ht="16" x14ac:dyDescent="0.2">
      <c r="A40" s="30">
        <v>1</v>
      </c>
      <c r="B40" s="8" t="s">
        <v>116</v>
      </c>
    </row>
    <row r="41" spans="1:2" ht="48" x14ac:dyDescent="0.2">
      <c r="A41" s="30">
        <v>2</v>
      </c>
      <c r="B41" s="8" t="s">
        <v>162</v>
      </c>
    </row>
    <row r="42" spans="1:2" ht="32" x14ac:dyDescent="0.2">
      <c r="A42" s="30">
        <v>3</v>
      </c>
      <c r="B42" s="8" t="s">
        <v>158</v>
      </c>
    </row>
    <row r="43" spans="1:2" ht="32" x14ac:dyDescent="0.2">
      <c r="A43" s="30">
        <v>4</v>
      </c>
      <c r="B43" s="8" t="s">
        <v>159</v>
      </c>
    </row>
    <row r="44" spans="1:2" ht="32" x14ac:dyDescent="0.2">
      <c r="A44" s="30">
        <v>5</v>
      </c>
      <c r="B44" s="8" t="s">
        <v>160</v>
      </c>
    </row>
    <row r="45" spans="1:2" ht="16" x14ac:dyDescent="0.2">
      <c r="A45" s="30">
        <v>6</v>
      </c>
      <c r="B45" s="8" t="s">
        <v>152</v>
      </c>
    </row>
    <row r="46" spans="1:2" x14ac:dyDescent="0.2">
      <c r="A46" s="30"/>
    </row>
    <row r="47" spans="1:2" x14ac:dyDescent="0.2">
      <c r="A47" s="33" t="s">
        <v>161</v>
      </c>
    </row>
    <row r="48" spans="1:2" x14ac:dyDescent="0.2">
      <c r="A48" s="30" t="s">
        <v>55</v>
      </c>
    </row>
    <row r="49" spans="1:2" ht="16" x14ac:dyDescent="0.2">
      <c r="A49" s="30">
        <v>1</v>
      </c>
      <c r="B49" s="8" t="s">
        <v>116</v>
      </c>
    </row>
    <row r="50" spans="1:2" ht="32" x14ac:dyDescent="0.2">
      <c r="A50" s="30">
        <v>2</v>
      </c>
      <c r="B50" s="8" t="s">
        <v>15</v>
      </c>
    </row>
    <row r="51" spans="1:2" ht="16" x14ac:dyDescent="0.2">
      <c r="A51" s="30">
        <v>3</v>
      </c>
      <c r="B51" s="8" t="s">
        <v>114</v>
      </c>
    </row>
    <row r="52" spans="1:2" x14ac:dyDescent="0.2">
      <c r="A52" s="30"/>
    </row>
    <row r="53" spans="1:2" x14ac:dyDescent="0.2">
      <c r="A53" s="30"/>
    </row>
    <row r="54" spans="1:2" x14ac:dyDescent="0.2">
      <c r="A54" s="52" t="s">
        <v>142</v>
      </c>
    </row>
    <row r="55" spans="1:2" x14ac:dyDescent="0.2">
      <c r="A55" s="30" t="s">
        <v>55</v>
      </c>
    </row>
    <row r="56" spans="1:2" ht="16" x14ac:dyDescent="0.2">
      <c r="A56" s="30">
        <v>1</v>
      </c>
      <c r="B56" s="8" t="s">
        <v>116</v>
      </c>
    </row>
    <row r="57" spans="1:2" ht="16" x14ac:dyDescent="0.2">
      <c r="A57" s="30" t="s">
        <v>62</v>
      </c>
      <c r="B57" s="8" t="s">
        <v>63</v>
      </c>
    </row>
    <row r="58" spans="1:2" ht="64" x14ac:dyDescent="0.2">
      <c r="A58" s="30">
        <v>2</v>
      </c>
      <c r="B58" s="8" t="s">
        <v>125</v>
      </c>
    </row>
    <row r="59" spans="1:2" ht="32" x14ac:dyDescent="0.2">
      <c r="A59" s="30">
        <v>3</v>
      </c>
      <c r="B59" s="8" t="s">
        <v>143</v>
      </c>
    </row>
    <row r="60" spans="1:2" ht="16" x14ac:dyDescent="0.2">
      <c r="A60" s="30">
        <v>4</v>
      </c>
      <c r="B60" s="8" t="s">
        <v>63</v>
      </c>
    </row>
    <row r="61" spans="1:2" ht="32" x14ac:dyDescent="0.2">
      <c r="A61" s="30">
        <v>5</v>
      </c>
      <c r="B61" s="8" t="s">
        <v>120</v>
      </c>
    </row>
    <row r="62" spans="1:2" x14ac:dyDescent="0.2">
      <c r="A62" s="30"/>
    </row>
    <row r="63" spans="1:2" x14ac:dyDescent="0.2">
      <c r="A63" s="52" t="s">
        <v>144</v>
      </c>
    </row>
    <row r="64" spans="1:2" x14ac:dyDescent="0.2">
      <c r="A64" s="30" t="s">
        <v>55</v>
      </c>
    </row>
    <row r="65" spans="1:2" ht="16" x14ac:dyDescent="0.2">
      <c r="A65" s="30">
        <v>1</v>
      </c>
      <c r="B65" s="8" t="s">
        <v>116</v>
      </c>
    </row>
    <row r="66" spans="1:2" ht="15.75" customHeight="1" x14ac:dyDescent="0.2">
      <c r="A66" s="30" t="s">
        <v>62</v>
      </c>
      <c r="B66" s="8" t="s">
        <v>121</v>
      </c>
    </row>
    <row r="67" spans="1:2" ht="78" customHeight="1" x14ac:dyDescent="0.2">
      <c r="A67" s="30">
        <v>2</v>
      </c>
      <c r="B67" s="8" t="s">
        <v>126</v>
      </c>
    </row>
    <row r="68" spans="1:2" ht="32" x14ac:dyDescent="0.2">
      <c r="A68" s="30">
        <v>3</v>
      </c>
      <c r="B68" s="8" t="s">
        <v>145</v>
      </c>
    </row>
    <row r="69" spans="1:2" ht="48" x14ac:dyDescent="0.2">
      <c r="A69" s="30">
        <v>4</v>
      </c>
      <c r="B69" s="8" t="s">
        <v>119</v>
      </c>
    </row>
    <row r="70" spans="1:2" ht="32" x14ac:dyDescent="0.2">
      <c r="A70" s="30">
        <v>5</v>
      </c>
      <c r="B70" s="8" t="s">
        <v>122</v>
      </c>
    </row>
    <row r="71" spans="1:2" ht="32" x14ac:dyDescent="0.2">
      <c r="A71" s="30">
        <v>6</v>
      </c>
      <c r="B71" s="8" t="s">
        <v>80</v>
      </c>
    </row>
    <row r="72" spans="1:2" ht="48" x14ac:dyDescent="0.2">
      <c r="A72" s="30">
        <v>7</v>
      </c>
      <c r="B72" s="8" t="s">
        <v>123</v>
      </c>
    </row>
    <row r="75" spans="1:2" x14ac:dyDescent="0.2">
      <c r="A75" s="33" t="s">
        <v>146</v>
      </c>
    </row>
    <row r="76" spans="1:2" x14ac:dyDescent="0.2">
      <c r="A76" s="30" t="s">
        <v>55</v>
      </c>
    </row>
    <row r="77" spans="1:2" ht="16" x14ac:dyDescent="0.2">
      <c r="A77" s="30">
        <v>1</v>
      </c>
      <c r="B77" s="8" t="s">
        <v>116</v>
      </c>
    </row>
    <row r="78" spans="1:2" ht="16" x14ac:dyDescent="0.2">
      <c r="A78" s="30" t="s">
        <v>62</v>
      </c>
      <c r="B78" s="8" t="s">
        <v>121</v>
      </c>
    </row>
    <row r="79" spans="1:2" ht="74.25" customHeight="1" x14ac:dyDescent="0.2">
      <c r="A79" s="30">
        <v>2</v>
      </c>
      <c r="B79" s="8" t="s">
        <v>130</v>
      </c>
    </row>
    <row r="80" spans="1:2" ht="32" x14ac:dyDescent="0.2">
      <c r="A80" s="30">
        <v>3</v>
      </c>
      <c r="B80" s="8" t="s">
        <v>147</v>
      </c>
    </row>
    <row r="81" spans="1:2" ht="48" x14ac:dyDescent="0.2">
      <c r="A81" s="30">
        <v>4</v>
      </c>
      <c r="B81" s="8" t="s">
        <v>124</v>
      </c>
    </row>
    <row r="82" spans="1:2" ht="16" x14ac:dyDescent="0.2">
      <c r="A82" s="30">
        <v>5</v>
      </c>
      <c r="B82" s="8" t="s">
        <v>83</v>
      </c>
    </row>
    <row r="83" spans="1:2" ht="48" x14ac:dyDescent="0.2">
      <c r="A83" s="30">
        <v>6</v>
      </c>
      <c r="B83" s="8" t="s">
        <v>87</v>
      </c>
    </row>
    <row r="86" spans="1:2" x14ac:dyDescent="0.2">
      <c r="A86" s="33" t="s">
        <v>148</v>
      </c>
    </row>
    <row r="87" spans="1:2" x14ac:dyDescent="0.2">
      <c r="A87" s="30" t="s">
        <v>55</v>
      </c>
    </row>
    <row r="88" spans="1:2" ht="16" x14ac:dyDescent="0.2">
      <c r="A88" s="30">
        <v>1</v>
      </c>
      <c r="B88" s="8" t="s">
        <v>116</v>
      </c>
    </row>
    <row r="89" spans="1:2" ht="16" x14ac:dyDescent="0.2">
      <c r="A89" s="30" t="s">
        <v>62</v>
      </c>
      <c r="B89" s="8" t="s">
        <v>149</v>
      </c>
    </row>
    <row r="90" spans="1:2" ht="80" x14ac:dyDescent="0.2">
      <c r="A90" s="30">
        <v>2</v>
      </c>
      <c r="B90" s="8" t="s">
        <v>126</v>
      </c>
    </row>
    <row r="91" spans="1:2" ht="32" x14ac:dyDescent="0.2">
      <c r="A91" s="30">
        <v>3</v>
      </c>
      <c r="B91" s="8" t="s">
        <v>150</v>
      </c>
    </row>
    <row r="92" spans="1:2" ht="32" x14ac:dyDescent="0.2">
      <c r="A92" s="30">
        <v>4</v>
      </c>
      <c r="B92" s="8" t="s">
        <v>151</v>
      </c>
    </row>
    <row r="93" spans="1:2" ht="16" x14ac:dyDescent="0.2">
      <c r="A93" s="30">
        <v>5</v>
      </c>
      <c r="B93" s="8" t="s">
        <v>83</v>
      </c>
    </row>
    <row r="94" spans="1:2" ht="16" x14ac:dyDescent="0.2">
      <c r="A94" s="30">
        <v>6</v>
      </c>
      <c r="B94" s="8" t="s">
        <v>152</v>
      </c>
    </row>
    <row r="97" spans="1:2" x14ac:dyDescent="0.2">
      <c r="A97" s="52" t="s">
        <v>153</v>
      </c>
    </row>
    <row r="98" spans="1:2" x14ac:dyDescent="0.2">
      <c r="A98" s="30" t="s">
        <v>55</v>
      </c>
    </row>
    <row r="99" spans="1:2" ht="16" x14ac:dyDescent="0.2">
      <c r="A99" s="30">
        <v>1</v>
      </c>
      <c r="B99" s="8" t="s">
        <v>116</v>
      </c>
    </row>
    <row r="100" spans="1:2" ht="16" x14ac:dyDescent="0.2">
      <c r="A100" s="30" t="s">
        <v>62</v>
      </c>
      <c r="B100" s="8" t="s">
        <v>63</v>
      </c>
    </row>
    <row r="101" spans="1:2" ht="80" x14ac:dyDescent="0.2">
      <c r="A101" s="30">
        <v>2</v>
      </c>
      <c r="B101" s="8" t="s">
        <v>156</v>
      </c>
    </row>
    <row r="102" spans="1:2" ht="32" x14ac:dyDescent="0.2">
      <c r="A102" s="30">
        <v>3</v>
      </c>
      <c r="B102" s="8" t="s">
        <v>154</v>
      </c>
    </row>
    <row r="103" spans="1:2" ht="16" x14ac:dyDescent="0.2">
      <c r="A103" s="30">
        <v>4</v>
      </c>
      <c r="B103" s="8" t="s">
        <v>155</v>
      </c>
    </row>
    <row r="104" spans="1:2" ht="32" x14ac:dyDescent="0.2">
      <c r="A104" s="30">
        <v>5</v>
      </c>
      <c r="B104" s="8" t="s">
        <v>120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C04E2-B13E-4D93-A2A3-EE83A625A78C}">
  <dimension ref="A1:BM50"/>
  <sheetViews>
    <sheetView topLeftCell="A4" zoomScaleNormal="100" workbookViewId="0">
      <selection activeCell="A31" sqref="A31"/>
    </sheetView>
  </sheetViews>
  <sheetFormatPr baseColWidth="10" defaultColWidth="8.83203125" defaultRowHeight="15" x14ac:dyDescent="0.2"/>
  <cols>
    <col min="1" max="1" width="25.5" customWidth="1"/>
    <col min="9" max="9" width="11.6640625" customWidth="1"/>
    <col min="10" max="10" width="10" bestFit="1" customWidth="1"/>
    <col min="11" max="12" width="0" hidden="1" customWidth="1"/>
    <col min="15" max="15" width="9.83203125" bestFit="1" customWidth="1"/>
    <col min="16" max="16" width="9.83203125" customWidth="1"/>
    <col min="18" max="18" width="9.1640625" customWidth="1"/>
    <col min="19" max="19" width="10.83203125" bestFit="1" customWidth="1"/>
    <col min="21" max="21" width="11.83203125" bestFit="1" customWidth="1"/>
    <col min="26" max="26" width="10.83203125" bestFit="1" customWidth="1"/>
    <col min="27" max="27" width="10" bestFit="1" customWidth="1"/>
    <col min="30" max="31" width="10.83203125" customWidth="1"/>
    <col min="56" max="56" width="10.83203125" bestFit="1" customWidth="1"/>
    <col min="63" max="63" width="9.33203125" bestFit="1" customWidth="1"/>
  </cols>
  <sheetData>
    <row r="1" spans="1:16" x14ac:dyDescent="0.2">
      <c r="A1" s="18" t="s">
        <v>17</v>
      </c>
      <c r="N1" s="18" t="s">
        <v>131</v>
      </c>
    </row>
    <row r="2" spans="1:16" x14ac:dyDescent="0.2">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5" spans="1:16" x14ac:dyDescent="0.2">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'4.5% Withdrawals-No Rebalancing'!N15</f>
        <v>2018</v>
      </c>
      <c r="O15" s="47">
        <f>'4.5% Withdrawals-No Rebalancing'!O15</f>
        <v>2.2088751106458498E-2</v>
      </c>
      <c r="P15" s="41"/>
    </row>
    <row r="16" spans="1:16" x14ac:dyDescent="0.2">
      <c r="A16" s="16">
        <f>'Non-Rebalanced Strategy'!A16</f>
        <v>2019</v>
      </c>
      <c r="B16" s="16">
        <f>'Non-Rebalanced Strategy'!B16</f>
        <v>31.456</v>
      </c>
      <c r="C16" s="16"/>
      <c r="D16" s="16">
        <f>'Non-Rebalanced Strategy'!D16</f>
        <v>31.031600000000001</v>
      </c>
      <c r="E16" s="16">
        <f>'Non-Rebalanced Strategy'!E16</f>
        <v>27.3674</v>
      </c>
      <c r="F16" s="16"/>
      <c r="G16" s="16">
        <f>'Non-Rebalanced Strategy'!G16</f>
        <v>21.507999999999999</v>
      </c>
      <c r="H16" s="16">
        <f>'Non-Rebalanced Strategy'!H16</f>
        <v>8.7140000000000004</v>
      </c>
      <c r="N16" s="46">
        <f>'4.5% Withdrawals-No Rebalancing'!N16</f>
        <v>2019</v>
      </c>
      <c r="O16" s="47">
        <f>'4.5% Withdrawals-No Rebalancing'!O16</f>
        <v>2.2862976460393248E-2</v>
      </c>
      <c r="P16" s="41"/>
    </row>
    <row r="17" spans="1:65" x14ac:dyDescent="0.2">
      <c r="A17" s="16">
        <f>'Non-Rebalanced Strategy'!A17</f>
        <v>2020</v>
      </c>
      <c r="B17" s="16">
        <f>'Non-Rebalanced Strategy'!B17</f>
        <v>18.37</v>
      </c>
      <c r="C17" s="16"/>
      <c r="D17" s="16">
        <f>'Non-Rebalanced Strategy'!D17</f>
        <v>18.239999999999998</v>
      </c>
      <c r="E17" s="16">
        <f>'Non-Rebalanced Strategy'!E17</f>
        <v>19.11</v>
      </c>
      <c r="F17" s="16"/>
      <c r="G17" s="16">
        <f>'Non-Rebalanced Strategy'!G17</f>
        <v>11.28</v>
      </c>
      <c r="H17" s="16">
        <f>'Non-Rebalanced Strategy'!H17</f>
        <v>7.72</v>
      </c>
      <c r="N17" s="46">
        <f>'4.5% Withdrawals-No Rebalancing'!N17</f>
        <v>0</v>
      </c>
      <c r="O17" s="47">
        <f>'4.5% Withdrawals-No Rebalancing'!O17</f>
        <v>0</v>
      </c>
      <c r="P17" s="41"/>
    </row>
    <row r="20" spans="1:65" x14ac:dyDescent="0.2">
      <c r="A20" s="18" t="s">
        <v>103</v>
      </c>
      <c r="N20" s="18" t="s">
        <v>64</v>
      </c>
      <c r="R20" s="18" t="s">
        <v>104</v>
      </c>
      <c r="AG20" s="18" t="s">
        <v>105</v>
      </c>
      <c r="AS20" s="18" t="s">
        <v>65</v>
      </c>
      <c r="BC20" s="18" t="s">
        <v>106</v>
      </c>
    </row>
    <row r="21" spans="1:65" x14ac:dyDescent="0.2">
      <c r="B21" s="4" t="str">
        <f t="shared" ref="B21:H22" si="0">B2</f>
        <v>LC Stocks</v>
      </c>
      <c r="C21" s="4" t="str">
        <f t="shared" si="0"/>
        <v>Ext Mkt</v>
      </c>
      <c r="D21" s="4" t="str">
        <f t="shared" si="0"/>
        <v>Mcap Stk</v>
      </c>
      <c r="E21" s="4" t="str">
        <f t="shared" si="0"/>
        <v>Small Cap</v>
      </c>
      <c r="F21" s="4" t="str">
        <f t="shared" si="0"/>
        <v>Intl Val</v>
      </c>
      <c r="G21" s="4" t="str">
        <f t="shared" si="0"/>
        <v>Tot Int Stk</v>
      </c>
      <c r="H21" s="4" t="str">
        <f t="shared" si="0"/>
        <v>Bonds</v>
      </c>
      <c r="I21" s="5"/>
      <c r="J21" s="5" t="s">
        <v>42</v>
      </c>
      <c r="K21" s="5" t="s">
        <v>39</v>
      </c>
      <c r="L21" s="5" t="s">
        <v>40</v>
      </c>
      <c r="O21" s="66">
        <v>4.4999999999999998E-2</v>
      </c>
      <c r="S21" s="4" t="str">
        <f t="shared" ref="S21:Z23" si="1">B21</f>
        <v>LC Stocks</v>
      </c>
      <c r="T21" s="4" t="str">
        <f t="shared" si="1"/>
        <v>Ext Mkt</v>
      </c>
      <c r="U21" s="4" t="str">
        <f t="shared" si="1"/>
        <v>Mcap Stk</v>
      </c>
      <c r="V21" s="4" t="str">
        <f t="shared" si="1"/>
        <v>Small Cap</v>
      </c>
      <c r="W21" s="4" t="str">
        <f t="shared" si="1"/>
        <v>Intl Val</v>
      </c>
      <c r="X21" s="4" t="str">
        <f t="shared" si="1"/>
        <v>Tot Int Stk</v>
      </c>
      <c r="Y21" s="4" t="str">
        <f t="shared" si="1"/>
        <v>Bonds</v>
      </c>
      <c r="Z21" s="5"/>
      <c r="AA21" s="5" t="s">
        <v>42</v>
      </c>
      <c r="AB21" s="5" t="s">
        <v>39</v>
      </c>
      <c r="AC21" s="5" t="s">
        <v>40</v>
      </c>
      <c r="AD21" s="5" t="s">
        <v>54</v>
      </c>
      <c r="AE21" s="5"/>
      <c r="AH21" s="4" t="str">
        <f t="shared" ref="AH21:AN22" si="2">B21</f>
        <v>LC Stocks</v>
      </c>
      <c r="AI21" s="4" t="str">
        <f t="shared" si="2"/>
        <v>Ext Mkt</v>
      </c>
      <c r="AJ21" s="4" t="str">
        <f t="shared" si="2"/>
        <v>Mcap Stk</v>
      </c>
      <c r="AK21" s="4" t="str">
        <f t="shared" si="2"/>
        <v>Small Cap</v>
      </c>
      <c r="AL21" s="4" t="str">
        <f t="shared" si="2"/>
        <v>Intl Val</v>
      </c>
      <c r="AM21" s="4" t="str">
        <f t="shared" si="2"/>
        <v>Tot Int Stk</v>
      </c>
      <c r="AN21" s="4" t="str">
        <f t="shared" si="2"/>
        <v>Bonds</v>
      </c>
      <c r="AO21" s="5"/>
      <c r="AP21" s="5" t="s">
        <v>171</v>
      </c>
      <c r="AQ21" s="3" t="s">
        <v>172</v>
      </c>
      <c r="AT21" s="4" t="str">
        <f t="shared" ref="AT21:AZ22" si="3">AH21</f>
        <v>LC Stocks</v>
      </c>
      <c r="AU21" s="4" t="str">
        <f t="shared" si="3"/>
        <v>Ext Mkt</v>
      </c>
      <c r="AV21" s="4" t="str">
        <f t="shared" si="3"/>
        <v>Mcap Stk</v>
      </c>
      <c r="AW21" s="4" t="str">
        <f t="shared" si="3"/>
        <v>Small Cap</v>
      </c>
      <c r="AX21" s="4" t="str">
        <f t="shared" si="3"/>
        <v>Intl Val</v>
      </c>
      <c r="AY21" s="4" t="str">
        <f t="shared" si="3"/>
        <v>Tot Int Stk</v>
      </c>
      <c r="AZ21" s="4" t="str">
        <f t="shared" si="3"/>
        <v>Bonds</v>
      </c>
      <c r="BA21" s="5"/>
      <c r="BD21" s="4" t="str">
        <f>AT21</f>
        <v>LC Stocks</v>
      </c>
      <c r="BE21" s="4" t="str">
        <f t="shared" ref="BE21:BK23" si="4">AU21</f>
        <v>Ext Mkt</v>
      </c>
      <c r="BF21" s="4" t="str">
        <f t="shared" si="4"/>
        <v>Mcap Stk</v>
      </c>
      <c r="BG21" s="4" t="str">
        <f t="shared" si="4"/>
        <v>Small Cap</v>
      </c>
      <c r="BH21" s="4" t="str">
        <f t="shared" si="4"/>
        <v>Intl Val</v>
      </c>
      <c r="BI21" s="4" t="str">
        <f t="shared" si="4"/>
        <v>Tot Int Stk</v>
      </c>
      <c r="BJ21" s="4" t="str">
        <f t="shared" si="4"/>
        <v>Bonds</v>
      </c>
      <c r="BK21" s="4"/>
      <c r="BL21" t="s">
        <v>54</v>
      </c>
    </row>
    <row r="22" spans="1:65" x14ac:dyDescent="0.2">
      <c r="A22" t="s">
        <v>38</v>
      </c>
      <c r="B22" s="4" t="str">
        <f t="shared" si="0"/>
        <v>VFINX</v>
      </c>
      <c r="C22" s="4" t="str">
        <f t="shared" si="0"/>
        <v>VEXMX</v>
      </c>
      <c r="D22" s="4" t="str">
        <f t="shared" si="0"/>
        <v>VIMSX</v>
      </c>
      <c r="E22" s="4" t="str">
        <f t="shared" si="0"/>
        <v>NAESX</v>
      </c>
      <c r="F22" s="4" t="str">
        <f t="shared" si="0"/>
        <v>VTRIX</v>
      </c>
      <c r="G22" s="4" t="str">
        <f t="shared" si="0"/>
        <v>VGTSX</v>
      </c>
      <c r="H22" s="4" t="str">
        <f t="shared" si="0"/>
        <v>VBMFX</v>
      </c>
      <c r="I22" s="5" t="s">
        <v>36</v>
      </c>
      <c r="J22" s="5" t="s">
        <v>43</v>
      </c>
      <c r="K22" s="5" t="s">
        <v>41</v>
      </c>
      <c r="L22" s="5" t="s">
        <v>41</v>
      </c>
      <c r="R22" t="str">
        <f t="shared" ref="R22:R33" si="5">A22</f>
        <v>Fund</v>
      </c>
      <c r="S22" s="4" t="str">
        <f t="shared" si="1"/>
        <v>VFINX</v>
      </c>
      <c r="T22" s="4" t="str">
        <f t="shared" si="1"/>
        <v>VEXMX</v>
      </c>
      <c r="U22" s="4" t="str">
        <f t="shared" si="1"/>
        <v>VIMSX</v>
      </c>
      <c r="V22" s="4" t="str">
        <f t="shared" si="1"/>
        <v>NAESX</v>
      </c>
      <c r="W22" s="4" t="str">
        <f t="shared" si="1"/>
        <v>VTRIX</v>
      </c>
      <c r="X22" s="4" t="str">
        <f t="shared" si="1"/>
        <v>VGTSX</v>
      </c>
      <c r="Y22" s="4" t="str">
        <f t="shared" si="1"/>
        <v>VBMFX</v>
      </c>
      <c r="Z22" s="5" t="str">
        <f t="shared" si="1"/>
        <v>Total</v>
      </c>
      <c r="AA22" s="5" t="s">
        <v>43</v>
      </c>
      <c r="AB22" s="5" t="s">
        <v>41</v>
      </c>
      <c r="AC22" s="5" t="s">
        <v>41</v>
      </c>
      <c r="AD22" s="5" t="s">
        <v>53</v>
      </c>
      <c r="AE22" s="5"/>
      <c r="AG22" t="s">
        <v>38</v>
      </c>
      <c r="AH22" s="4" t="str">
        <f t="shared" si="2"/>
        <v>VFINX</v>
      </c>
      <c r="AI22" s="4" t="str">
        <f t="shared" si="2"/>
        <v>VEXMX</v>
      </c>
      <c r="AJ22" s="4" t="str">
        <f t="shared" si="2"/>
        <v>VIMSX</v>
      </c>
      <c r="AK22" s="4" t="str">
        <f t="shared" si="2"/>
        <v>NAESX</v>
      </c>
      <c r="AL22" s="4" t="str">
        <f t="shared" si="2"/>
        <v>VTRIX</v>
      </c>
      <c r="AM22" s="4" t="str">
        <f t="shared" si="2"/>
        <v>VGTSX</v>
      </c>
      <c r="AN22" s="4" t="str">
        <f t="shared" si="2"/>
        <v>VBMFX</v>
      </c>
      <c r="AO22" s="5" t="s">
        <v>36</v>
      </c>
      <c r="AP22" s="5" t="s">
        <v>172</v>
      </c>
      <c r="AQ22" s="3" t="s">
        <v>53</v>
      </c>
      <c r="AS22" t="str">
        <f>AG22</f>
        <v>Fund</v>
      </c>
      <c r="AT22" s="4" t="str">
        <f t="shared" si="3"/>
        <v>VFINX</v>
      </c>
      <c r="AU22" s="4" t="str">
        <f t="shared" si="3"/>
        <v>VEXMX</v>
      </c>
      <c r="AV22" s="4" t="str">
        <f t="shared" si="3"/>
        <v>VIMSX</v>
      </c>
      <c r="AW22" s="4" t="str">
        <f t="shared" si="3"/>
        <v>NAESX</v>
      </c>
      <c r="AX22" s="4" t="str">
        <f t="shared" si="3"/>
        <v>VTRIX</v>
      </c>
      <c r="AY22" s="4" t="str">
        <f t="shared" si="3"/>
        <v>VGTSX</v>
      </c>
      <c r="AZ22" s="4" t="str">
        <f t="shared" si="3"/>
        <v>VBMFX</v>
      </c>
      <c r="BA22" s="4" t="str">
        <f>AO22</f>
        <v>Total</v>
      </c>
      <c r="BC22" t="s">
        <v>38</v>
      </c>
      <c r="BD22" s="4" t="str">
        <f>AT22</f>
        <v>VFINX</v>
      </c>
      <c r="BE22" s="4" t="str">
        <f t="shared" si="4"/>
        <v>VEXMX</v>
      </c>
      <c r="BF22" s="4" t="str">
        <f t="shared" si="4"/>
        <v>VIMSX</v>
      </c>
      <c r="BG22" s="4" t="str">
        <f t="shared" si="4"/>
        <v>NAESX</v>
      </c>
      <c r="BH22" s="4" t="str">
        <f t="shared" si="4"/>
        <v>VTRIX</v>
      </c>
      <c r="BI22" s="4" t="str">
        <f t="shared" si="4"/>
        <v>VGTSX</v>
      </c>
      <c r="BJ22" s="4" t="str">
        <f t="shared" si="4"/>
        <v>VBMFX</v>
      </c>
      <c r="BK22" s="4" t="str">
        <f t="shared" si="4"/>
        <v>Total</v>
      </c>
      <c r="BL22" t="s">
        <v>53</v>
      </c>
    </row>
    <row r="23" spans="1:65" x14ac:dyDescent="0.2">
      <c r="A23" t="s">
        <v>37</v>
      </c>
      <c r="B23" s="2">
        <f>'Non-Rebalanced Strategy'!B23</f>
        <v>20000</v>
      </c>
      <c r="C23" s="2"/>
      <c r="D23" s="2">
        <f>'Non-Rebalanced Strategy'!D23</f>
        <v>15000</v>
      </c>
      <c r="E23" s="2">
        <f>'Non-Rebalanced Strategy'!E23</f>
        <v>10000</v>
      </c>
      <c r="F23" s="2"/>
      <c r="G23" s="2">
        <f>'Non-Rebalanced Strategy'!G23</f>
        <v>15000</v>
      </c>
      <c r="H23" s="2">
        <f>'Non-Rebalanced Strategy'!H23</f>
        <v>40000</v>
      </c>
      <c r="I23" s="2">
        <f t="shared" ref="I23:I38" si="6">SUM(B23:H23)</f>
        <v>100000</v>
      </c>
      <c r="N23" s="19"/>
      <c r="R23" t="str">
        <f t="shared" si="5"/>
        <v>Stating Balance</v>
      </c>
      <c r="S23" s="2">
        <f t="shared" si="1"/>
        <v>20000</v>
      </c>
      <c r="T23" s="2">
        <f t="shared" si="1"/>
        <v>0</v>
      </c>
      <c r="U23" s="2">
        <f t="shared" si="1"/>
        <v>15000</v>
      </c>
      <c r="V23" s="2">
        <f t="shared" si="1"/>
        <v>10000</v>
      </c>
      <c r="W23" s="2">
        <f t="shared" si="1"/>
        <v>0</v>
      </c>
      <c r="X23" s="2">
        <f t="shared" si="1"/>
        <v>15000</v>
      </c>
      <c r="Y23" s="2">
        <f t="shared" si="1"/>
        <v>40000</v>
      </c>
      <c r="Z23" s="2">
        <f t="shared" si="1"/>
        <v>100000</v>
      </c>
      <c r="AD23" s="2"/>
      <c r="AE23" s="2"/>
      <c r="AG23" s="19" t="s">
        <v>52</v>
      </c>
      <c r="AH23" s="6">
        <f t="shared" ref="AH23:AN33" si="7">S23/$Z23</f>
        <v>0.2</v>
      </c>
      <c r="AI23" s="6"/>
      <c r="AJ23" s="6">
        <f t="shared" si="7"/>
        <v>0.15</v>
      </c>
      <c r="AK23" s="6">
        <f t="shared" si="7"/>
        <v>0.1</v>
      </c>
      <c r="AL23" s="6"/>
      <c r="AM23" s="6">
        <f t="shared" si="7"/>
        <v>0.15</v>
      </c>
      <c r="AN23" s="6">
        <f>Y23/$Z23</f>
        <v>0.4</v>
      </c>
      <c r="AO23" s="6">
        <f>Z23/$Z23</f>
        <v>1</v>
      </c>
      <c r="AP23" s="22"/>
      <c r="AR23" s="22"/>
      <c r="AS23" s="19" t="str">
        <f>AG23</f>
        <v>Target Allocation</v>
      </c>
      <c r="AT23" s="22">
        <f>AH23</f>
        <v>0.2</v>
      </c>
      <c r="AU23" s="22">
        <f>AI23</f>
        <v>0</v>
      </c>
      <c r="AV23" s="22">
        <f>AJ23</f>
        <v>0.15</v>
      </c>
      <c r="AW23" s="22">
        <f>AK23</f>
        <v>0.1</v>
      </c>
      <c r="AX23" s="22"/>
      <c r="AY23" s="22">
        <f>AM23</f>
        <v>0.15</v>
      </c>
      <c r="AZ23" s="22">
        <f>AN23</f>
        <v>0.4</v>
      </c>
      <c r="BA23" s="22">
        <f>AO23</f>
        <v>1</v>
      </c>
      <c r="BC23" s="19" t="str">
        <f>AS23</f>
        <v>Target Allocation</v>
      </c>
      <c r="BD23" s="22">
        <f>AT23</f>
        <v>0.2</v>
      </c>
      <c r="BE23" s="22"/>
      <c r="BF23" s="22">
        <f>AV23</f>
        <v>0.15</v>
      </c>
      <c r="BG23" s="22">
        <f>AW23</f>
        <v>0.1</v>
      </c>
      <c r="BH23" s="22"/>
      <c r="BI23" s="22">
        <f>AY23</f>
        <v>0.15</v>
      </c>
      <c r="BJ23" s="22">
        <f t="shared" si="4"/>
        <v>0.4</v>
      </c>
      <c r="BK23" s="22">
        <f t="shared" si="4"/>
        <v>1</v>
      </c>
      <c r="BL23" s="2"/>
    </row>
    <row r="24" spans="1:65" x14ac:dyDescent="0.2">
      <c r="A24">
        <f t="shared" ref="A24:A35" si="8">A4</f>
        <v>2007</v>
      </c>
      <c r="B24" s="2">
        <f>B23*(1+(B4/100))</f>
        <v>21078</v>
      </c>
      <c r="C24" s="2"/>
      <c r="D24" s="2">
        <f>D23*(1+(D4/100))</f>
        <v>15903.150000000001</v>
      </c>
      <c r="E24" s="2">
        <f>E23*(1+(E4/100))</f>
        <v>10115.6</v>
      </c>
      <c r="F24" s="2"/>
      <c r="G24" s="2">
        <f>G23*(1+(G4/100))</f>
        <v>17328.3</v>
      </c>
      <c r="H24" s="2">
        <f>H23*(1+(H4/100))</f>
        <v>42768</v>
      </c>
      <c r="I24" s="2">
        <f t="shared" si="6"/>
        <v>107193.05</v>
      </c>
      <c r="J24" s="2">
        <f>I24-I23</f>
        <v>7193.0500000000029</v>
      </c>
      <c r="K24" s="6" t="e">
        <f>(J24/#REF!)</f>
        <v>#REF!</v>
      </c>
      <c r="L24" s="7" t="e">
        <f t="shared" ref="L24:L33" si="9">K24+1</f>
        <v>#REF!</v>
      </c>
      <c r="N24">
        <f t="shared" ref="N24:N33" si="10">A24</f>
        <v>2007</v>
      </c>
      <c r="O24" s="2">
        <f>I24*O21</f>
        <v>4823.6872499999999</v>
      </c>
      <c r="P24" s="2"/>
      <c r="Q24" s="2"/>
      <c r="R24">
        <f t="shared" si="5"/>
        <v>2007</v>
      </c>
      <c r="S24" s="2">
        <f t="shared" ref="S24:S33" si="11">B24-($O24/5)</f>
        <v>20113.262549999999</v>
      </c>
      <c r="T24" s="2"/>
      <c r="U24" s="2">
        <f t="shared" ref="U24:V33" si="12">D24-($O24/5)</f>
        <v>14938.412550000001</v>
      </c>
      <c r="V24" s="2">
        <f t="shared" si="12"/>
        <v>9150.8625499999998</v>
      </c>
      <c r="W24" s="2"/>
      <c r="X24" s="2">
        <f t="shared" ref="X24:Y33" si="13">G24-($O24/5)</f>
        <v>16363.562549999999</v>
      </c>
      <c r="Y24" s="2">
        <f t="shared" si="13"/>
        <v>41803.262549999999</v>
      </c>
      <c r="Z24" s="2">
        <f t="shared" ref="Z24:Z33" si="14">SUM(S24:Y24)</f>
        <v>102369.36275</v>
      </c>
      <c r="AA24" s="2">
        <f>Z24-Z23</f>
        <v>2369.3627500000002</v>
      </c>
      <c r="AB24" s="6">
        <f>(AA24/Z23)</f>
        <v>2.3693627500000002E-2</v>
      </c>
      <c r="AC24" s="7">
        <f t="shared" ref="AC24:AC33" si="15">AB24+1</f>
        <v>1.0236936274999999</v>
      </c>
      <c r="AD24" s="2">
        <f t="shared" ref="AD24:AD33" si="16">Z24-(I24-O24)</f>
        <v>0</v>
      </c>
      <c r="AE24" s="2"/>
      <c r="AG24">
        <f t="shared" ref="AG24:AG33" si="17">A24</f>
        <v>2007</v>
      </c>
      <c r="AH24" s="6">
        <f t="shared" si="7"/>
        <v>0.19647736402461877</v>
      </c>
      <c r="AI24" s="6"/>
      <c r="AJ24" s="6">
        <f t="shared" si="7"/>
        <v>0.14592659511304812</v>
      </c>
      <c r="AK24" s="6">
        <f t="shared" si="7"/>
        <v>8.9390637043894272E-2</v>
      </c>
      <c r="AL24" s="6"/>
      <c r="AM24" s="6">
        <f t="shared" si="7"/>
        <v>0.15984824082535376</v>
      </c>
      <c r="AN24" s="6">
        <f t="shared" si="7"/>
        <v>0.40835716299308505</v>
      </c>
      <c r="AO24" s="20">
        <f>SUM(AH24:AN24)</f>
        <v>1</v>
      </c>
      <c r="AP24" s="7">
        <f>SUM(AH24:AM24)</f>
        <v>0.59164283700691489</v>
      </c>
      <c r="AQ24" s="7">
        <f>AO24-(AP24+AN24)</f>
        <v>0</v>
      </c>
      <c r="AR24" s="22"/>
      <c r="AS24">
        <f t="shared" ref="AS24:AS33" si="18">AG24</f>
        <v>2007</v>
      </c>
      <c r="AT24" t="b">
        <f>AND((S24/$Z24)&gt;0.15,(S24/$Z24)&lt;0.25)</f>
        <v>1</v>
      </c>
      <c r="AV24" t="b">
        <f>AND((U24/$Z24)&gt;0.1,(U24/$Z24)&lt;0.2)</f>
        <v>1</v>
      </c>
      <c r="AW24" t="b">
        <f>AND((V24/$Z24)&gt;0.05,(V24/$Z24)&lt;0.15)</f>
        <v>1</v>
      </c>
      <c r="AY24" t="b">
        <f>AND((X24/$Z24)&gt;0.1,(X24/$Z24)&lt;0.2)</f>
        <v>1</v>
      </c>
      <c r="AZ24" t="b">
        <f>AND((Y24/$Z24)&gt;0.35,(Y24/$Z24)&lt;0.45)</f>
        <v>1</v>
      </c>
      <c r="BA24" s="1" t="b">
        <f>AND((Z24/$Z24)&gt;0.999,(Z24/$Z24)&lt;1.01)</f>
        <v>1</v>
      </c>
      <c r="BC24">
        <f t="shared" ref="BC24:BC33" si="19">AS24</f>
        <v>2007</v>
      </c>
      <c r="BD24" s="2">
        <f t="shared" ref="BD24" si="20">S24</f>
        <v>20113.262549999999</v>
      </c>
      <c r="BE24" s="2"/>
      <c r="BF24" s="2">
        <f>U24</f>
        <v>14938.412550000001</v>
      </c>
      <c r="BG24" s="2">
        <f>V24</f>
        <v>9150.8625499999998</v>
      </c>
      <c r="BH24" s="2"/>
      <c r="BI24" s="2">
        <f>X24</f>
        <v>16363.562549999999</v>
      </c>
      <c r="BJ24" s="2">
        <f>Y24</f>
        <v>41803.262549999999</v>
      </c>
      <c r="BK24" s="2">
        <f>Z24</f>
        <v>102369.36275</v>
      </c>
      <c r="BL24" s="2">
        <f t="shared" ref="BL24:BL33" si="21">SUM(BD24:BJ24)-Z24</f>
        <v>0</v>
      </c>
      <c r="BM24" s="2"/>
    </row>
    <row r="25" spans="1:65" x14ac:dyDescent="0.2">
      <c r="A25">
        <f t="shared" si="8"/>
        <v>2008</v>
      </c>
      <c r="B25" s="2">
        <f t="shared" ref="B25:B35" si="22">BD24*(1+(B5/100))</f>
        <v>12667.332753989998</v>
      </c>
      <c r="C25" s="2"/>
      <c r="D25" s="2">
        <f t="shared" ref="D25:D35" si="23">BF24*(1+(D5/100))</f>
        <v>8690.5708850880019</v>
      </c>
      <c r="E25" s="2">
        <f t="shared" ref="E25:E35" si="24">BG24*(1+(E5/100))</f>
        <v>5850.146428215</v>
      </c>
      <c r="F25" s="2"/>
      <c r="G25" s="2">
        <f t="shared" ref="G25:G35" si="25">BI24*(1+(G5/100))</f>
        <v>9147.0678298244984</v>
      </c>
      <c r="H25" s="2">
        <f t="shared" ref="H25:H35" si="26">BJ24*(1+(H5/100))</f>
        <v>43914.327308774999</v>
      </c>
      <c r="I25" s="2">
        <f t="shared" si="6"/>
        <v>80269.445205892494</v>
      </c>
      <c r="J25" s="2">
        <f t="shared" ref="J25:J33" si="27">I25-I24</f>
        <v>-26923.604794107508</v>
      </c>
      <c r="K25" s="6">
        <f t="shared" ref="K25:K33" si="28">(J25/I24)</f>
        <v>-0.25116931362721284</v>
      </c>
      <c r="L25" s="7">
        <f t="shared" si="9"/>
        <v>0.74883068637278716</v>
      </c>
      <c r="N25">
        <f t="shared" si="10"/>
        <v>2008</v>
      </c>
      <c r="O25" s="2">
        <f t="shared" ref="O25:O35" si="29">O24*(1+O5)</f>
        <v>4823.6872499999999</v>
      </c>
      <c r="P25" s="2"/>
      <c r="Q25" s="2"/>
      <c r="R25">
        <f t="shared" si="5"/>
        <v>2008</v>
      </c>
      <c r="S25" s="2">
        <f t="shared" si="11"/>
        <v>11702.595303989998</v>
      </c>
      <c r="T25" s="2"/>
      <c r="U25" s="2">
        <f t="shared" si="12"/>
        <v>7725.8334350880023</v>
      </c>
      <c r="V25" s="2">
        <f t="shared" si="12"/>
        <v>4885.4089782150004</v>
      </c>
      <c r="W25" s="2"/>
      <c r="X25" s="2">
        <f t="shared" si="13"/>
        <v>8182.3303798244988</v>
      </c>
      <c r="Y25" s="2">
        <f t="shared" si="13"/>
        <v>42949.589858774998</v>
      </c>
      <c r="Z25" s="2">
        <f t="shared" si="14"/>
        <v>75445.757955892506</v>
      </c>
      <c r="AA25" s="2">
        <f t="shared" ref="AA25:AA33" si="30">Z25-Z24</f>
        <v>-26923.604794107494</v>
      </c>
      <c r="AB25" s="6">
        <f t="shared" ref="AB25:AB33" si="31">(AA25/Z24)</f>
        <v>-0.26300451688713372</v>
      </c>
      <c r="AC25" s="7">
        <f t="shared" si="15"/>
        <v>0.73699548311286622</v>
      </c>
      <c r="AD25" s="2">
        <f t="shared" si="16"/>
        <v>0</v>
      </c>
      <c r="AE25" s="2"/>
      <c r="AG25">
        <f t="shared" si="17"/>
        <v>2008</v>
      </c>
      <c r="AH25" s="6">
        <f t="shared" si="7"/>
        <v>0.15511270111212389</v>
      </c>
      <c r="AI25" s="6"/>
      <c r="AJ25" s="6">
        <f t="shared" si="7"/>
        <v>0.10240248947601162</v>
      </c>
      <c r="AK25" s="6">
        <f t="shared" si="7"/>
        <v>6.4753925344233854E-2</v>
      </c>
      <c r="AL25" s="6"/>
      <c r="AM25" s="6">
        <f t="shared" si="7"/>
        <v>0.10845315364991225</v>
      </c>
      <c r="AN25" s="6">
        <f t="shared" si="7"/>
        <v>0.56927773041771823</v>
      </c>
      <c r="AO25" s="20">
        <f t="shared" ref="AO25:AO28" si="32">SUM(AH25:AN25)</f>
        <v>0.99999999999999978</v>
      </c>
      <c r="AP25" s="7">
        <f t="shared" ref="AP25:AP35" si="33">SUM(AH25:AM25)</f>
        <v>0.4307222695822816</v>
      </c>
      <c r="AQ25" s="7">
        <f t="shared" ref="AQ25:AQ35" si="34">AO25-(AP25+AN25)</f>
        <v>0</v>
      </c>
      <c r="AR25" s="22"/>
      <c r="AS25">
        <f t="shared" si="18"/>
        <v>2008</v>
      </c>
      <c r="AT25" s="1" t="b">
        <f t="shared" ref="AT25:AT37" si="35">AND((S25/$Z25)&gt;0.15,(S25/$Z25)&lt;0.25)</f>
        <v>1</v>
      </c>
      <c r="AU25" s="1"/>
      <c r="AV25" s="1" t="b">
        <f t="shared" ref="AV25:AV37" si="36">AND((U25/$Z25)&gt;0.1,(U25/$Z25)&lt;0.2)</f>
        <v>1</v>
      </c>
      <c r="AW25" s="1" t="b">
        <f t="shared" ref="AW25:AW37" si="37">AND((V25/$Z25)&gt;0.05,(V25/$Z25)&lt;0.15)</f>
        <v>1</v>
      </c>
      <c r="AX25" s="1"/>
      <c r="AY25" s="1" t="b">
        <f t="shared" ref="AY25:AY37" si="38">AND((X25/$Z25)&gt;0.1,(X25/$Z25)&lt;0.2)</f>
        <v>1</v>
      </c>
      <c r="AZ25" s="35" t="b">
        <f t="shared" ref="AZ25:AZ37" si="39">AND((Y25/$Z25)&gt;0.35,(Y25/$Z25)&lt;0.45)</f>
        <v>0</v>
      </c>
      <c r="BA25" s="1" t="b">
        <f t="shared" ref="BA25:BA33" si="40">AND((Z25/$Z25)&gt;0.999,(Z25/$Z25)&lt;1.01)</f>
        <v>1</v>
      </c>
      <c r="BC25">
        <f t="shared" si="19"/>
        <v>2008</v>
      </c>
      <c r="BD25" s="36">
        <f>BD$23*$Z25</f>
        <v>15089.151591178503</v>
      </c>
      <c r="BE25" s="2"/>
      <c r="BF25" s="36">
        <f>BF$23*$Z25</f>
        <v>11316.863693383875</v>
      </c>
      <c r="BG25" s="36">
        <f>BG$23*$Z25</f>
        <v>7544.5757955892514</v>
      </c>
      <c r="BH25" s="2"/>
      <c r="BI25" s="36">
        <f>BI$23*$Z25</f>
        <v>11316.863693383875</v>
      </c>
      <c r="BJ25" s="36">
        <f>BJ$23*$Z25</f>
        <v>30178.303182357005</v>
      </c>
      <c r="BK25" s="2">
        <f t="shared" ref="BK25:BK33" si="41">Z25</f>
        <v>75445.757955892506</v>
      </c>
      <c r="BL25" s="2">
        <f t="shared" si="21"/>
        <v>0</v>
      </c>
      <c r="BM25" s="2"/>
    </row>
    <row r="26" spans="1:65" x14ac:dyDescent="0.2">
      <c r="A26">
        <f t="shared" si="8"/>
        <v>2009</v>
      </c>
      <c r="B26" s="2">
        <f t="shared" si="22"/>
        <v>19086.267847681687</v>
      </c>
      <c r="C26" s="2"/>
      <c r="D26" s="2">
        <f t="shared" si="23"/>
        <v>15868.279933589001</v>
      </c>
      <c r="E26" s="2">
        <f t="shared" si="24"/>
        <v>10269.525681440178</v>
      </c>
      <c r="F26" s="2"/>
      <c r="G26" s="2">
        <f t="shared" si="25"/>
        <v>15473.20822205297</v>
      </c>
      <c r="H26" s="2">
        <f t="shared" si="26"/>
        <v>31967.876561070774</v>
      </c>
      <c r="I26" s="2">
        <f t="shared" si="6"/>
        <v>92665.158245834609</v>
      </c>
      <c r="J26" s="2">
        <f t="shared" si="27"/>
        <v>12395.713039942115</v>
      </c>
      <c r="K26" s="6">
        <f t="shared" si="28"/>
        <v>0.15442629518799961</v>
      </c>
      <c r="L26" s="7">
        <f t="shared" si="9"/>
        <v>1.1544262951879996</v>
      </c>
      <c r="N26">
        <f t="shared" si="10"/>
        <v>2009</v>
      </c>
      <c r="O26" s="2">
        <f t="shared" si="29"/>
        <v>4958.7504930000005</v>
      </c>
      <c r="P26" s="2"/>
      <c r="Q26" s="2"/>
      <c r="R26">
        <f t="shared" si="5"/>
        <v>2009</v>
      </c>
      <c r="S26" s="2">
        <f t="shared" si="11"/>
        <v>18094.517749081686</v>
      </c>
      <c r="T26" s="2"/>
      <c r="U26" s="2">
        <f t="shared" si="12"/>
        <v>14876.529834989002</v>
      </c>
      <c r="V26" s="2">
        <f t="shared" si="12"/>
        <v>9277.7755828401787</v>
      </c>
      <c r="W26" s="2"/>
      <c r="X26" s="2">
        <f t="shared" si="13"/>
        <v>14481.458123452971</v>
      </c>
      <c r="Y26" s="2">
        <f t="shared" si="13"/>
        <v>30976.126462470773</v>
      </c>
      <c r="Z26" s="2">
        <f t="shared" si="14"/>
        <v>87706.40775283461</v>
      </c>
      <c r="AA26" s="2">
        <f t="shared" si="30"/>
        <v>12260.649796942103</v>
      </c>
      <c r="AB26" s="6">
        <f t="shared" si="31"/>
        <v>0.16250946546404887</v>
      </c>
      <c r="AC26" s="7">
        <f t="shared" si="15"/>
        <v>1.1625094654640489</v>
      </c>
      <c r="AD26" s="2">
        <f t="shared" si="16"/>
        <v>0</v>
      </c>
      <c r="AE26" s="2"/>
      <c r="AG26">
        <f t="shared" si="17"/>
        <v>2009</v>
      </c>
      <c r="AH26" s="6">
        <f t="shared" si="7"/>
        <v>0.20630781960736369</v>
      </c>
      <c r="AI26" s="6"/>
      <c r="AJ26" s="6">
        <f t="shared" si="7"/>
        <v>0.16961736566514665</v>
      </c>
      <c r="AK26" s="6">
        <f t="shared" si="7"/>
        <v>0.10578218650780766</v>
      </c>
      <c r="AL26" s="6"/>
      <c r="AM26" s="6">
        <f t="shared" si="7"/>
        <v>0.16511288621309358</v>
      </c>
      <c r="AN26" s="6">
        <f t="shared" si="7"/>
        <v>0.35317974200658842</v>
      </c>
      <c r="AO26" s="20">
        <f t="shared" si="32"/>
        <v>1</v>
      </c>
      <c r="AP26" s="7">
        <f t="shared" si="33"/>
        <v>0.64682025799341158</v>
      </c>
      <c r="AQ26" s="7">
        <f t="shared" si="34"/>
        <v>0</v>
      </c>
      <c r="AR26" s="22"/>
      <c r="AS26">
        <f t="shared" si="18"/>
        <v>2009</v>
      </c>
      <c r="AT26" s="1" t="b">
        <f t="shared" si="35"/>
        <v>1</v>
      </c>
      <c r="AU26" s="1"/>
      <c r="AV26" s="1" t="b">
        <f t="shared" si="36"/>
        <v>1</v>
      </c>
      <c r="AW26" s="1" t="b">
        <f t="shared" si="37"/>
        <v>1</v>
      </c>
      <c r="AX26" s="1"/>
      <c r="AY26" s="1" t="b">
        <f t="shared" si="38"/>
        <v>1</v>
      </c>
      <c r="AZ26" s="1" t="b">
        <f t="shared" si="39"/>
        <v>1</v>
      </c>
      <c r="BA26" s="1" t="b">
        <f t="shared" si="40"/>
        <v>1</v>
      </c>
      <c r="BC26">
        <f t="shared" si="19"/>
        <v>2009</v>
      </c>
      <c r="BD26" s="2">
        <f t="shared" ref="BD26" si="42">S26</f>
        <v>18094.517749081686</v>
      </c>
      <c r="BE26" s="2"/>
      <c r="BF26" s="2">
        <f>U26</f>
        <v>14876.529834989002</v>
      </c>
      <c r="BG26" s="2">
        <f>V26</f>
        <v>9277.7755828401787</v>
      </c>
      <c r="BH26" s="2"/>
      <c r="BI26" s="2">
        <f>X26</f>
        <v>14481.458123452971</v>
      </c>
      <c r="BJ26" s="2">
        <f>Y26</f>
        <v>30976.126462470773</v>
      </c>
      <c r="BK26" s="2">
        <f t="shared" si="41"/>
        <v>87706.40775283461</v>
      </c>
      <c r="BL26" s="2">
        <f t="shared" si="21"/>
        <v>0</v>
      </c>
      <c r="BM26" s="2"/>
    </row>
    <row r="27" spans="1:65" x14ac:dyDescent="0.2">
      <c r="A27">
        <f t="shared" si="8"/>
        <v>2010</v>
      </c>
      <c r="B27" s="2">
        <f t="shared" si="22"/>
        <v>20792.410345469765</v>
      </c>
      <c r="C27" s="2"/>
      <c r="D27" s="2">
        <f t="shared" si="23"/>
        <v>18664.094330977201</v>
      </c>
      <c r="E27" s="2">
        <f t="shared" si="24"/>
        <v>11849.574974403477</v>
      </c>
      <c r="F27" s="2"/>
      <c r="G27" s="2">
        <f t="shared" si="25"/>
        <v>16091.796266780941</v>
      </c>
      <c r="H27" s="2">
        <f t="shared" si="26"/>
        <v>32964.793781361397</v>
      </c>
      <c r="I27" s="2">
        <f t="shared" si="6"/>
        <v>100362.66969899277</v>
      </c>
      <c r="J27" s="2">
        <f t="shared" si="27"/>
        <v>7697.5114531581639</v>
      </c>
      <c r="K27" s="6">
        <f t="shared" si="28"/>
        <v>8.3068022532667235E-2</v>
      </c>
      <c r="L27" s="7">
        <f t="shared" si="9"/>
        <v>1.0830680225326672</v>
      </c>
      <c r="N27">
        <f t="shared" si="10"/>
        <v>2010</v>
      </c>
      <c r="O27" s="2">
        <f t="shared" si="29"/>
        <v>5028.1729999020008</v>
      </c>
      <c r="P27" s="2"/>
      <c r="Q27" s="2"/>
      <c r="R27">
        <f t="shared" si="5"/>
        <v>2010</v>
      </c>
      <c r="S27" s="2">
        <f t="shared" si="11"/>
        <v>19786.775745489365</v>
      </c>
      <c r="T27" s="2"/>
      <c r="U27" s="2">
        <f t="shared" si="12"/>
        <v>17658.459730996801</v>
      </c>
      <c r="V27" s="2">
        <f t="shared" si="12"/>
        <v>10843.940374423077</v>
      </c>
      <c r="W27" s="2"/>
      <c r="X27" s="2">
        <f t="shared" si="13"/>
        <v>15086.161666800541</v>
      </c>
      <c r="Y27" s="2">
        <f t="shared" si="13"/>
        <v>31959.159181380997</v>
      </c>
      <c r="Z27" s="2">
        <f t="shared" si="14"/>
        <v>95334.496699090785</v>
      </c>
      <c r="AA27" s="2">
        <f t="shared" si="30"/>
        <v>7628.0889462561754</v>
      </c>
      <c r="AB27" s="6">
        <f t="shared" si="31"/>
        <v>8.6972994809602619E-2</v>
      </c>
      <c r="AC27" s="7">
        <f t="shared" si="15"/>
        <v>1.0869729948096025</v>
      </c>
      <c r="AD27" s="2">
        <f t="shared" si="16"/>
        <v>0</v>
      </c>
      <c r="AE27" s="2"/>
      <c r="AG27">
        <f t="shared" si="17"/>
        <v>2010</v>
      </c>
      <c r="AH27" s="6">
        <f t="shared" si="7"/>
        <v>0.20755105896182985</v>
      </c>
      <c r="AI27" s="6"/>
      <c r="AJ27" s="6">
        <f t="shared" si="7"/>
        <v>0.18522633823444953</v>
      </c>
      <c r="AK27" s="6">
        <f t="shared" si="7"/>
        <v>0.11374623824417271</v>
      </c>
      <c r="AL27" s="6"/>
      <c r="AM27" s="6">
        <f t="shared" si="7"/>
        <v>0.15824451997074862</v>
      </c>
      <c r="AN27" s="6">
        <f t="shared" si="7"/>
        <v>0.33523184458879923</v>
      </c>
      <c r="AO27" s="20">
        <f t="shared" si="32"/>
        <v>1</v>
      </c>
      <c r="AP27" s="7">
        <f t="shared" si="33"/>
        <v>0.66476815541120071</v>
      </c>
      <c r="AQ27" s="7">
        <f t="shared" si="34"/>
        <v>0</v>
      </c>
      <c r="AR27" s="22"/>
      <c r="AS27">
        <f t="shared" si="18"/>
        <v>2010</v>
      </c>
      <c r="AT27" s="1" t="b">
        <f t="shared" si="35"/>
        <v>1</v>
      </c>
      <c r="AU27" s="1"/>
      <c r="AV27" s="1" t="b">
        <f t="shared" si="36"/>
        <v>1</v>
      </c>
      <c r="AW27" s="1" t="b">
        <f t="shared" si="37"/>
        <v>1</v>
      </c>
      <c r="AX27" s="1"/>
      <c r="AY27" s="1" t="b">
        <f t="shared" si="38"/>
        <v>1</v>
      </c>
      <c r="AZ27" s="35" t="b">
        <f t="shared" si="39"/>
        <v>0</v>
      </c>
      <c r="BA27" s="1" t="b">
        <f t="shared" si="40"/>
        <v>1</v>
      </c>
      <c r="BC27">
        <f t="shared" si="19"/>
        <v>2010</v>
      </c>
      <c r="BD27" s="36">
        <f>BD$23*$Z27</f>
        <v>19066.899339818159</v>
      </c>
      <c r="BE27" s="2"/>
      <c r="BF27" s="36">
        <f>BF$23*$Z27</f>
        <v>14300.174504863617</v>
      </c>
      <c r="BG27" s="36">
        <f>BG$23*$Z27</f>
        <v>9533.4496699090796</v>
      </c>
      <c r="BH27" s="2"/>
      <c r="BI27" s="36">
        <f>BI$23*$Z27</f>
        <v>14300.174504863617</v>
      </c>
      <c r="BJ27" s="36">
        <f>BJ$23*$Z27</f>
        <v>38133.798679636318</v>
      </c>
      <c r="BK27" s="2">
        <f t="shared" si="41"/>
        <v>95334.496699090785</v>
      </c>
      <c r="BL27" s="2">
        <f t="shared" si="21"/>
        <v>0</v>
      </c>
      <c r="BM27" s="2"/>
    </row>
    <row r="28" spans="1:65" x14ac:dyDescent="0.2">
      <c r="A28">
        <f t="shared" si="8"/>
        <v>2011</v>
      </c>
      <c r="B28" s="2">
        <f t="shared" si="22"/>
        <v>19442.517256812578</v>
      </c>
      <c r="C28" s="2"/>
      <c r="D28" s="2">
        <f t="shared" si="23"/>
        <v>13998.440822810995</v>
      </c>
      <c r="E28" s="2">
        <f t="shared" si="24"/>
        <v>9266.5130791516258</v>
      </c>
      <c r="F28" s="2"/>
      <c r="G28" s="2">
        <f t="shared" si="25"/>
        <v>12218.069096955474</v>
      </c>
      <c r="H28" s="2">
        <f t="shared" si="26"/>
        <v>41016.713859816831</v>
      </c>
      <c r="I28" s="2">
        <f t="shared" si="6"/>
        <v>95942.254115547519</v>
      </c>
      <c r="J28" s="2">
        <f t="shared" si="27"/>
        <v>-4420.415583445254</v>
      </c>
      <c r="K28" s="6">
        <f t="shared" si="28"/>
        <v>-4.4044420068766035E-2</v>
      </c>
      <c r="L28" s="7">
        <f t="shared" si="9"/>
        <v>0.95595557993123392</v>
      </c>
      <c r="N28">
        <f t="shared" si="10"/>
        <v>2011</v>
      </c>
      <c r="O28" s="2">
        <f t="shared" si="29"/>
        <v>5179.0181898990613</v>
      </c>
      <c r="P28" s="2"/>
      <c r="Q28" s="2"/>
      <c r="R28">
        <f t="shared" si="5"/>
        <v>2011</v>
      </c>
      <c r="S28" s="2">
        <f t="shared" si="11"/>
        <v>18406.713618832764</v>
      </c>
      <c r="T28" s="2"/>
      <c r="U28" s="2">
        <f t="shared" si="12"/>
        <v>12962.637184831183</v>
      </c>
      <c r="V28" s="2">
        <f t="shared" si="12"/>
        <v>8230.7094411718135</v>
      </c>
      <c r="W28" s="2"/>
      <c r="X28" s="2">
        <f t="shared" si="13"/>
        <v>11182.265458975662</v>
      </c>
      <c r="Y28" s="2">
        <f t="shared" si="13"/>
        <v>39980.910221837017</v>
      </c>
      <c r="Z28" s="2">
        <f t="shared" si="14"/>
        <v>90763.235925648449</v>
      </c>
      <c r="AA28" s="2">
        <f t="shared" si="30"/>
        <v>-4571.2607734423364</v>
      </c>
      <c r="AB28" s="6">
        <f t="shared" si="31"/>
        <v>-4.7949702696504955E-2</v>
      </c>
      <c r="AC28" s="7">
        <f t="shared" si="15"/>
        <v>0.952050297303495</v>
      </c>
      <c r="AD28" s="2">
        <f t="shared" si="16"/>
        <v>0</v>
      </c>
      <c r="AE28" s="2"/>
      <c r="AG28">
        <f t="shared" si="17"/>
        <v>2011</v>
      </c>
      <c r="AH28" s="6">
        <f t="shared" si="7"/>
        <v>0.20279922185576549</v>
      </c>
      <c r="AI28" s="6"/>
      <c r="AJ28" s="6">
        <f t="shared" si="7"/>
        <v>0.14281814715651978</v>
      </c>
      <c r="AK28" s="6">
        <f t="shared" si="7"/>
        <v>9.0683296570808217E-2</v>
      </c>
      <c r="AL28" s="7"/>
      <c r="AM28" s="6">
        <f t="shared" si="7"/>
        <v>0.1232025868726845</v>
      </c>
      <c r="AN28" s="6">
        <f t="shared" si="7"/>
        <v>0.44049674754422191</v>
      </c>
      <c r="AO28" s="20">
        <f t="shared" si="32"/>
        <v>0.99999999999999978</v>
      </c>
      <c r="AP28" s="7">
        <f t="shared" si="33"/>
        <v>0.55950325245577792</v>
      </c>
      <c r="AQ28" s="7">
        <f t="shared" si="34"/>
        <v>0</v>
      </c>
      <c r="AR28" s="22"/>
      <c r="AS28">
        <f t="shared" si="18"/>
        <v>2011</v>
      </c>
      <c r="AT28" s="1" t="b">
        <f t="shared" si="35"/>
        <v>1</v>
      </c>
      <c r="AU28" s="1"/>
      <c r="AV28" s="1" t="b">
        <f t="shared" si="36"/>
        <v>1</v>
      </c>
      <c r="AW28" s="1" t="b">
        <f t="shared" si="37"/>
        <v>1</v>
      </c>
      <c r="AX28" s="1"/>
      <c r="AY28" s="1" t="b">
        <f t="shared" si="38"/>
        <v>1</v>
      </c>
      <c r="AZ28" s="1" t="b">
        <f t="shared" si="39"/>
        <v>1</v>
      </c>
      <c r="BA28" s="1" t="b">
        <f t="shared" si="40"/>
        <v>1</v>
      </c>
      <c r="BC28">
        <f t="shared" si="19"/>
        <v>2011</v>
      </c>
      <c r="BD28" s="2">
        <f t="shared" ref="BD28:BD30" si="43">S28</f>
        <v>18406.713618832764</v>
      </c>
      <c r="BE28" s="2"/>
      <c r="BF28" s="2">
        <f t="shared" ref="BF28:BG30" si="44">U28</f>
        <v>12962.637184831183</v>
      </c>
      <c r="BG28" s="2">
        <f t="shared" si="44"/>
        <v>8230.7094411718135</v>
      </c>
      <c r="BH28" s="2"/>
      <c r="BI28" s="2">
        <f t="shared" ref="BI28:BJ30" si="45">X28</f>
        <v>11182.265458975662</v>
      </c>
      <c r="BJ28" s="2">
        <f t="shared" si="45"/>
        <v>39980.910221837017</v>
      </c>
      <c r="BK28" s="2">
        <f t="shared" si="41"/>
        <v>90763.235925648449</v>
      </c>
      <c r="BL28" s="2">
        <f t="shared" si="21"/>
        <v>0</v>
      </c>
      <c r="BM28" s="2"/>
    </row>
    <row r="29" spans="1:65" x14ac:dyDescent="0.2">
      <c r="A29">
        <f t="shared" si="8"/>
        <v>2012</v>
      </c>
      <c r="B29" s="2">
        <f t="shared" si="22"/>
        <v>21318.655713332104</v>
      </c>
      <c r="C29" s="2"/>
      <c r="D29" s="2">
        <f t="shared" si="23"/>
        <v>15010.733860034508</v>
      </c>
      <c r="E29" s="2">
        <f t="shared" si="24"/>
        <v>9715.5294243592089</v>
      </c>
      <c r="F29" s="2"/>
      <c r="G29" s="2">
        <f t="shared" si="25"/>
        <v>13210.728413233848</v>
      </c>
      <c r="H29" s="2">
        <f t="shared" si="26"/>
        <v>41600.137085821414</v>
      </c>
      <c r="I29" s="2">
        <f t="shared" si="6"/>
        <v>100855.78449678108</v>
      </c>
      <c r="J29" s="2">
        <f t="shared" si="27"/>
        <v>4913.5303812335624</v>
      </c>
      <c r="K29" s="6">
        <f t="shared" si="28"/>
        <v>5.1213414011682272E-2</v>
      </c>
      <c r="L29" s="7">
        <f t="shared" si="9"/>
        <v>1.0512134140116822</v>
      </c>
      <c r="N29">
        <f t="shared" si="10"/>
        <v>2012</v>
      </c>
      <c r="O29" s="2">
        <f t="shared" si="29"/>
        <v>5272.2405173172447</v>
      </c>
      <c r="P29" s="2"/>
      <c r="Q29" s="2"/>
      <c r="R29">
        <f t="shared" si="5"/>
        <v>2012</v>
      </c>
      <c r="S29" s="2">
        <f t="shared" si="11"/>
        <v>20264.207609868656</v>
      </c>
      <c r="T29" s="2"/>
      <c r="U29" s="2">
        <f t="shared" si="12"/>
        <v>13956.28575657106</v>
      </c>
      <c r="V29" s="2">
        <f t="shared" si="12"/>
        <v>8661.0813208957607</v>
      </c>
      <c r="W29" s="2"/>
      <c r="X29" s="2">
        <f t="shared" si="13"/>
        <v>12156.2803097704</v>
      </c>
      <c r="Y29" s="2">
        <f t="shared" si="13"/>
        <v>40545.688982357962</v>
      </c>
      <c r="Z29" s="2">
        <f t="shared" si="14"/>
        <v>95583.543979463837</v>
      </c>
      <c r="AA29" s="2">
        <f t="shared" si="30"/>
        <v>4820.3080538153881</v>
      </c>
      <c r="AB29" s="6">
        <f t="shared" si="31"/>
        <v>5.3108596279710596E-2</v>
      </c>
      <c r="AC29" s="7">
        <f t="shared" si="15"/>
        <v>1.0531085962797107</v>
      </c>
      <c r="AD29" s="2">
        <f t="shared" si="16"/>
        <v>0</v>
      </c>
      <c r="AE29" s="2"/>
      <c r="AG29">
        <f t="shared" si="17"/>
        <v>2012</v>
      </c>
      <c r="AH29" s="6">
        <f t="shared" si="7"/>
        <v>0.2120051921722261</v>
      </c>
      <c r="AI29" s="6"/>
      <c r="AJ29" s="6">
        <f t="shared" si="7"/>
        <v>0.14601138622323498</v>
      </c>
      <c r="AK29" s="6">
        <f t="shared" si="7"/>
        <v>9.0612682479701709E-2</v>
      </c>
      <c r="AL29" s="7"/>
      <c r="AM29" s="6">
        <f t="shared" si="7"/>
        <v>0.12717963577895983</v>
      </c>
      <c r="AN29" s="6">
        <f t="shared" si="7"/>
        <v>0.4241911033458774</v>
      </c>
      <c r="AO29" s="20">
        <f t="shared" ref="AO29:AO33" si="46">SUM(AH29:AN29)</f>
        <v>1</v>
      </c>
      <c r="AP29" s="7">
        <f t="shared" si="33"/>
        <v>0.5758088966541226</v>
      </c>
      <c r="AQ29" s="7">
        <f t="shared" si="34"/>
        <v>0</v>
      </c>
      <c r="AR29" s="22"/>
      <c r="AS29">
        <f t="shared" si="18"/>
        <v>2012</v>
      </c>
      <c r="AT29" s="1" t="b">
        <f t="shared" si="35"/>
        <v>1</v>
      </c>
      <c r="AU29" s="1"/>
      <c r="AV29" s="1" t="b">
        <f t="shared" si="36"/>
        <v>1</v>
      </c>
      <c r="AW29" s="1" t="b">
        <f t="shared" si="37"/>
        <v>1</v>
      </c>
      <c r="AX29" s="1"/>
      <c r="AY29" s="1" t="b">
        <f t="shared" si="38"/>
        <v>1</v>
      </c>
      <c r="AZ29" s="1" t="b">
        <f t="shared" si="39"/>
        <v>1</v>
      </c>
      <c r="BA29" s="1" t="b">
        <f t="shared" si="40"/>
        <v>1</v>
      </c>
      <c r="BC29">
        <f t="shared" si="19"/>
        <v>2012</v>
      </c>
      <c r="BD29" s="2">
        <f t="shared" si="43"/>
        <v>20264.207609868656</v>
      </c>
      <c r="BE29" s="2"/>
      <c r="BF29" s="2">
        <f t="shared" si="44"/>
        <v>13956.28575657106</v>
      </c>
      <c r="BG29" s="2">
        <f t="shared" si="44"/>
        <v>8661.0813208957607</v>
      </c>
      <c r="BH29" s="2"/>
      <c r="BI29" s="2">
        <f t="shared" si="45"/>
        <v>12156.2803097704</v>
      </c>
      <c r="BJ29" s="2">
        <f t="shared" si="45"/>
        <v>40545.688982357962</v>
      </c>
      <c r="BK29" s="2">
        <f t="shared" si="41"/>
        <v>95583.543979463837</v>
      </c>
      <c r="BL29" s="2">
        <f t="shared" si="21"/>
        <v>0</v>
      </c>
      <c r="BM29" s="2"/>
    </row>
    <row r="30" spans="1:65" x14ac:dyDescent="0.2">
      <c r="A30">
        <f t="shared" si="8"/>
        <v>2013</v>
      </c>
      <c r="B30" s="2">
        <f t="shared" si="22"/>
        <v>26785.229618724392</v>
      </c>
      <c r="C30" s="2"/>
      <c r="D30" s="2">
        <f t="shared" si="23"/>
        <v>18840.985771370932</v>
      </c>
      <c r="E30" s="2">
        <f t="shared" si="24"/>
        <v>11919.380113816746</v>
      </c>
      <c r="F30" s="2"/>
      <c r="G30" s="2">
        <f t="shared" si="25"/>
        <v>13984.584868359867</v>
      </c>
      <c r="H30" s="2">
        <f t="shared" si="26"/>
        <v>39629.356411356675</v>
      </c>
      <c r="I30" s="2">
        <f t="shared" ref="I30:I31" si="47">SUM(B30:H30)</f>
        <v>111159.53678362863</v>
      </c>
      <c r="J30" s="2">
        <f t="shared" si="27"/>
        <v>10303.75228684755</v>
      </c>
      <c r="K30" s="6">
        <f t="shared" si="28"/>
        <v>0.10216322582049228</v>
      </c>
      <c r="L30" s="7">
        <f t="shared" si="9"/>
        <v>1.1021632258204923</v>
      </c>
      <c r="N30">
        <f t="shared" si="10"/>
        <v>2013</v>
      </c>
      <c r="O30" s="2">
        <f t="shared" si="29"/>
        <v>5333.1660914215818</v>
      </c>
      <c r="P30" s="2"/>
      <c r="Q30" s="2"/>
      <c r="R30">
        <f t="shared" si="5"/>
        <v>2013</v>
      </c>
      <c r="S30" s="2">
        <f t="shared" si="11"/>
        <v>25718.596400440074</v>
      </c>
      <c r="T30" s="2"/>
      <c r="U30" s="2">
        <f t="shared" si="12"/>
        <v>17774.352553086614</v>
      </c>
      <c r="V30" s="2">
        <f t="shared" si="12"/>
        <v>10852.746895532429</v>
      </c>
      <c r="W30" s="2"/>
      <c r="X30" s="2">
        <f t="shared" si="13"/>
        <v>12917.951650075551</v>
      </c>
      <c r="Y30" s="2">
        <f t="shared" si="13"/>
        <v>38562.723193072357</v>
      </c>
      <c r="Z30" s="2">
        <f t="shared" si="14"/>
        <v>105826.37069220704</v>
      </c>
      <c r="AA30" s="2">
        <f t="shared" si="30"/>
        <v>10242.826712743205</v>
      </c>
      <c r="AB30" s="6">
        <f t="shared" si="31"/>
        <v>0.10716098489656212</v>
      </c>
      <c r="AC30" s="7">
        <f t="shared" si="15"/>
        <v>1.107160984896562</v>
      </c>
      <c r="AD30" s="2">
        <f t="shared" si="16"/>
        <v>0</v>
      </c>
      <c r="AE30" s="2"/>
      <c r="AG30">
        <f t="shared" si="17"/>
        <v>2013</v>
      </c>
      <c r="AH30" s="6">
        <f t="shared" si="7"/>
        <v>0.24302634808522228</v>
      </c>
      <c r="AI30" s="6"/>
      <c r="AJ30" s="6">
        <f t="shared" si="7"/>
        <v>0.16795768802071845</v>
      </c>
      <c r="AK30" s="6">
        <f t="shared" si="7"/>
        <v>0.10255238674958751</v>
      </c>
      <c r="AL30" s="7"/>
      <c r="AM30" s="6">
        <f t="shared" si="7"/>
        <v>0.12206741633091663</v>
      </c>
      <c r="AN30" s="6">
        <f t="shared" si="7"/>
        <v>0.36439616081355497</v>
      </c>
      <c r="AO30" s="20">
        <f t="shared" si="46"/>
        <v>0.99999999999999989</v>
      </c>
      <c r="AP30" s="7">
        <f t="shared" si="33"/>
        <v>0.63560383918644492</v>
      </c>
      <c r="AQ30" s="7">
        <f t="shared" si="34"/>
        <v>0</v>
      </c>
      <c r="AR30" s="22"/>
      <c r="AS30">
        <f t="shared" si="18"/>
        <v>2013</v>
      </c>
      <c r="AT30" s="1" t="b">
        <f t="shared" si="35"/>
        <v>1</v>
      </c>
      <c r="AU30" s="1"/>
      <c r="AV30" s="1" t="b">
        <f t="shared" si="36"/>
        <v>1</v>
      </c>
      <c r="AW30" s="1" t="b">
        <f t="shared" si="37"/>
        <v>1</v>
      </c>
      <c r="AX30" s="1"/>
      <c r="AY30" s="1" t="b">
        <f t="shared" si="38"/>
        <v>1</v>
      </c>
      <c r="AZ30" s="1" t="b">
        <f t="shared" si="39"/>
        <v>1</v>
      </c>
      <c r="BA30" s="1" t="b">
        <f t="shared" si="40"/>
        <v>1</v>
      </c>
      <c r="BC30">
        <f t="shared" si="19"/>
        <v>2013</v>
      </c>
      <c r="BD30" s="2">
        <f t="shared" si="43"/>
        <v>25718.596400440074</v>
      </c>
      <c r="BE30" s="2"/>
      <c r="BF30" s="2">
        <f t="shared" si="44"/>
        <v>17774.352553086614</v>
      </c>
      <c r="BG30" s="2">
        <f t="shared" si="44"/>
        <v>10852.746895532429</v>
      </c>
      <c r="BH30" s="2"/>
      <c r="BI30" s="2">
        <f t="shared" si="45"/>
        <v>12917.951650075551</v>
      </c>
      <c r="BJ30" s="2">
        <f t="shared" si="45"/>
        <v>38562.723193072357</v>
      </c>
      <c r="BK30" s="2">
        <f t="shared" si="41"/>
        <v>105826.37069220704</v>
      </c>
      <c r="BL30" s="2">
        <f t="shared" si="21"/>
        <v>0</v>
      </c>
      <c r="BM30" s="2"/>
    </row>
    <row r="31" spans="1:65" x14ac:dyDescent="0.2">
      <c r="A31">
        <f t="shared" si="8"/>
        <v>2014</v>
      </c>
      <c r="B31" s="2">
        <f t="shared" si="22"/>
        <v>29193.178774139527</v>
      </c>
      <c r="C31" s="2"/>
      <c r="D31" s="2">
        <f t="shared" si="23"/>
        <v>20191.664500306397</v>
      </c>
      <c r="E31" s="2">
        <f t="shared" si="24"/>
        <v>11652.594341733171</v>
      </c>
      <c r="F31" s="2"/>
      <c r="G31" s="2">
        <f t="shared" si="25"/>
        <v>12370.230500112348</v>
      </c>
      <c r="H31" s="2">
        <f t="shared" si="26"/>
        <v>40783.936048993331</v>
      </c>
      <c r="I31" s="2">
        <f t="shared" si="47"/>
        <v>114191.60416528478</v>
      </c>
      <c r="J31" s="2">
        <f t="shared" si="27"/>
        <v>3032.0673816561466</v>
      </c>
      <c r="K31" s="6">
        <f t="shared" si="28"/>
        <v>2.7276718394014608E-2</v>
      </c>
      <c r="L31" s="7">
        <f t="shared" si="9"/>
        <v>1.0272767183940146</v>
      </c>
      <c r="N31">
        <f t="shared" si="10"/>
        <v>2014</v>
      </c>
      <c r="O31" s="2">
        <f t="shared" si="29"/>
        <v>5401.9639340009198</v>
      </c>
      <c r="P31" s="2"/>
      <c r="Q31" s="2"/>
      <c r="R31">
        <f t="shared" si="5"/>
        <v>2014</v>
      </c>
      <c r="S31" s="2">
        <f t="shared" si="11"/>
        <v>28112.785987339343</v>
      </c>
      <c r="T31" s="2"/>
      <c r="U31" s="2">
        <f t="shared" si="12"/>
        <v>19111.271713506212</v>
      </c>
      <c r="V31" s="2">
        <f t="shared" si="12"/>
        <v>10572.201554932986</v>
      </c>
      <c r="W31" s="2"/>
      <c r="X31" s="2">
        <f t="shared" si="13"/>
        <v>11289.837713312163</v>
      </c>
      <c r="Y31" s="2">
        <f t="shared" si="13"/>
        <v>39703.543262193147</v>
      </c>
      <c r="Z31" s="2">
        <f t="shared" si="14"/>
        <v>108789.64023128385</v>
      </c>
      <c r="AA31" s="2">
        <f t="shared" si="30"/>
        <v>2963.2695390768058</v>
      </c>
      <c r="AB31" s="6">
        <f t="shared" si="31"/>
        <v>2.8001239385742425E-2</v>
      </c>
      <c r="AC31" s="7">
        <f t="shared" si="15"/>
        <v>1.0280012393857425</v>
      </c>
      <c r="AD31" s="2">
        <f t="shared" si="16"/>
        <v>0</v>
      </c>
      <c r="AE31" s="2"/>
      <c r="AG31">
        <f t="shared" si="17"/>
        <v>2014</v>
      </c>
      <c r="AH31" s="6">
        <f t="shared" si="7"/>
        <v>0.2584141828906899</v>
      </c>
      <c r="AI31" s="6"/>
      <c r="AJ31" s="6">
        <f t="shared" si="7"/>
        <v>0.17567179809470979</v>
      </c>
      <c r="AK31" s="6">
        <f t="shared" si="7"/>
        <v>9.7180223525482487E-2</v>
      </c>
      <c r="AL31" s="7"/>
      <c r="AM31" s="6">
        <f t="shared" si="7"/>
        <v>0.10377677221204401</v>
      </c>
      <c r="AN31" s="6">
        <f t="shared" si="7"/>
        <v>0.36495702327707386</v>
      </c>
      <c r="AO31" s="20">
        <f t="shared" si="46"/>
        <v>1</v>
      </c>
      <c r="AP31" s="7">
        <f t="shared" si="33"/>
        <v>0.6350429767229262</v>
      </c>
      <c r="AQ31" s="7">
        <f t="shared" si="34"/>
        <v>0</v>
      </c>
      <c r="AR31" s="22"/>
      <c r="AS31">
        <f t="shared" si="18"/>
        <v>2014</v>
      </c>
      <c r="AT31" s="65" t="b">
        <f t="shared" si="35"/>
        <v>0</v>
      </c>
      <c r="AU31" s="1"/>
      <c r="AV31" s="1" t="b">
        <f t="shared" si="36"/>
        <v>1</v>
      </c>
      <c r="AW31" s="1" t="b">
        <f t="shared" si="37"/>
        <v>1</v>
      </c>
      <c r="AX31" s="1"/>
      <c r="AY31" s="1" t="b">
        <f t="shared" si="38"/>
        <v>1</v>
      </c>
      <c r="AZ31" s="1" t="b">
        <f t="shared" si="39"/>
        <v>1</v>
      </c>
      <c r="BA31" s="1" t="b">
        <f t="shared" si="40"/>
        <v>1</v>
      </c>
      <c r="BC31">
        <f t="shared" si="19"/>
        <v>2014</v>
      </c>
      <c r="BD31" s="36">
        <f>BD$23*$Z31</f>
        <v>21757.928046256769</v>
      </c>
      <c r="BE31" s="2"/>
      <c r="BF31" s="36">
        <f>BF$23*$Z31</f>
        <v>16318.446034692577</v>
      </c>
      <c r="BG31" s="36">
        <f>BG$23*$Z31</f>
        <v>10878.964023128385</v>
      </c>
      <c r="BH31" s="2"/>
      <c r="BI31" s="36">
        <f>BI$23*$Z31</f>
        <v>16318.446034692577</v>
      </c>
      <c r="BJ31" s="36">
        <f>BJ$23*$Z31</f>
        <v>43515.856092513539</v>
      </c>
      <c r="BK31" s="2">
        <f t="shared" si="41"/>
        <v>108789.64023128385</v>
      </c>
      <c r="BL31" s="2">
        <f t="shared" si="21"/>
        <v>0</v>
      </c>
      <c r="BM31" s="2"/>
    </row>
    <row r="32" spans="1:65" x14ac:dyDescent="0.2">
      <c r="A32">
        <f t="shared" si="8"/>
        <v>2015</v>
      </c>
      <c r="B32" s="2">
        <f t="shared" si="22"/>
        <v>22029.902146834978</v>
      </c>
      <c r="C32" s="2"/>
      <c r="D32" s="2">
        <f t="shared" si="23"/>
        <v>16080.196722586066</v>
      </c>
      <c r="E32" s="2">
        <f t="shared" si="24"/>
        <v>10467.739183054131</v>
      </c>
      <c r="F32" s="2"/>
      <c r="G32" s="2">
        <f t="shared" si="25"/>
        <v>15605.329942976512</v>
      </c>
      <c r="H32" s="2">
        <f t="shared" si="26"/>
        <v>43646.403660791075</v>
      </c>
      <c r="I32" s="2">
        <f t="shared" ref="I32:I33" si="48">SUM(B32:H32)</f>
        <v>107829.57165624277</v>
      </c>
      <c r="J32" s="2">
        <f t="shared" si="27"/>
        <v>-6362.0325090420083</v>
      </c>
      <c r="K32" s="6">
        <f t="shared" si="28"/>
        <v>-5.571366262473542E-2</v>
      </c>
      <c r="L32" s="7">
        <f t="shared" si="9"/>
        <v>0.94428633737526457</v>
      </c>
      <c r="N32">
        <f t="shared" si="10"/>
        <v>2015</v>
      </c>
      <c r="O32" s="2">
        <f t="shared" si="29"/>
        <v>5425.7325753105233</v>
      </c>
      <c r="P32" s="2"/>
      <c r="Q32" s="2"/>
      <c r="R32">
        <f t="shared" si="5"/>
        <v>2015</v>
      </c>
      <c r="S32" s="2">
        <f t="shared" si="11"/>
        <v>20944.755631772874</v>
      </c>
      <c r="T32" s="2"/>
      <c r="U32" s="2">
        <f t="shared" si="12"/>
        <v>14995.050207523962</v>
      </c>
      <c r="V32" s="2">
        <f t="shared" si="12"/>
        <v>9382.5926679920267</v>
      </c>
      <c r="W32" s="2"/>
      <c r="X32" s="2">
        <f t="shared" si="13"/>
        <v>14520.183427914408</v>
      </c>
      <c r="Y32" s="2">
        <f t="shared" si="13"/>
        <v>42561.257145728967</v>
      </c>
      <c r="Z32" s="2">
        <f t="shared" si="14"/>
        <v>102403.83908093223</v>
      </c>
      <c r="AA32" s="2">
        <f t="shared" si="30"/>
        <v>-6385.8011503516173</v>
      </c>
      <c r="AB32" s="6">
        <f t="shared" si="31"/>
        <v>-5.8698614470785782E-2</v>
      </c>
      <c r="AC32" s="7">
        <f t="shared" si="15"/>
        <v>0.94130138552921427</v>
      </c>
      <c r="AD32" s="2">
        <f t="shared" si="16"/>
        <v>0</v>
      </c>
      <c r="AE32" s="2"/>
      <c r="AG32">
        <f t="shared" si="17"/>
        <v>2015</v>
      </c>
      <c r="AH32" s="6">
        <f t="shared" si="7"/>
        <v>0.20453096114121003</v>
      </c>
      <c r="AI32" s="6"/>
      <c r="AJ32" s="6">
        <f t="shared" si="7"/>
        <v>0.14643054735157937</v>
      </c>
      <c r="AK32" s="6">
        <f t="shared" si="7"/>
        <v>9.1623446466462422E-2</v>
      </c>
      <c r="AL32" s="7"/>
      <c r="AM32" s="6">
        <f t="shared" si="7"/>
        <v>0.14179335031022378</v>
      </c>
      <c r="AN32" s="6">
        <f t="shared" si="7"/>
        <v>0.41562169473052446</v>
      </c>
      <c r="AO32" s="20">
        <f t="shared" si="46"/>
        <v>1</v>
      </c>
      <c r="AP32" s="7">
        <f t="shared" si="33"/>
        <v>0.58437830526947554</v>
      </c>
      <c r="AQ32" s="7">
        <f t="shared" si="34"/>
        <v>0</v>
      </c>
      <c r="AR32" s="22"/>
      <c r="AS32">
        <f t="shared" si="18"/>
        <v>2015</v>
      </c>
      <c r="AT32" s="1" t="b">
        <f t="shared" si="35"/>
        <v>1</v>
      </c>
      <c r="AU32" s="1"/>
      <c r="AV32" s="1" t="b">
        <f t="shared" si="36"/>
        <v>1</v>
      </c>
      <c r="AW32" s="1" t="b">
        <f t="shared" si="37"/>
        <v>1</v>
      </c>
      <c r="AX32" s="1"/>
      <c r="AY32" s="1" t="b">
        <f t="shared" si="38"/>
        <v>1</v>
      </c>
      <c r="AZ32" s="1" t="b">
        <f t="shared" si="39"/>
        <v>1</v>
      </c>
      <c r="BA32" s="1" t="b">
        <f t="shared" si="40"/>
        <v>1</v>
      </c>
      <c r="BC32">
        <f t="shared" si="19"/>
        <v>2015</v>
      </c>
      <c r="BD32" s="2">
        <f t="shared" ref="BD32:BD33" si="49">S32</f>
        <v>20944.755631772874</v>
      </c>
      <c r="BE32" s="2"/>
      <c r="BF32" s="2">
        <f>U32</f>
        <v>14995.050207523962</v>
      </c>
      <c r="BG32" s="2">
        <f>V32</f>
        <v>9382.5926679920267</v>
      </c>
      <c r="BH32" s="2"/>
      <c r="BI32" s="2">
        <f>X32</f>
        <v>14520.183427914408</v>
      </c>
      <c r="BJ32" s="2">
        <f>Y32</f>
        <v>42561.257145728967</v>
      </c>
      <c r="BK32" s="2">
        <f t="shared" si="41"/>
        <v>102403.83908093223</v>
      </c>
      <c r="BL32" s="2">
        <f t="shared" si="21"/>
        <v>0</v>
      </c>
      <c r="BM32" s="2"/>
    </row>
    <row r="33" spans="1:65" x14ac:dyDescent="0.2">
      <c r="A33">
        <f t="shared" si="8"/>
        <v>2016</v>
      </c>
      <c r="B33" s="2">
        <f t="shared" si="22"/>
        <v>23420.425747448429</v>
      </c>
      <c r="C33" s="2"/>
      <c r="D33" s="2">
        <f t="shared" si="23"/>
        <v>16655.002265496863</v>
      </c>
      <c r="E33" s="2">
        <f t="shared" si="24"/>
        <v>11087.409755766177</v>
      </c>
      <c r="F33" s="2"/>
      <c r="G33" s="2">
        <f t="shared" si="25"/>
        <v>15195.371957312427</v>
      </c>
      <c r="H33" s="2">
        <f t="shared" si="26"/>
        <v>43625.288574372185</v>
      </c>
      <c r="I33" s="2">
        <f t="shared" si="48"/>
        <v>109983.49830039608</v>
      </c>
      <c r="J33" s="2">
        <f t="shared" si="27"/>
        <v>2153.9266441533109</v>
      </c>
      <c r="K33" s="6">
        <f t="shared" si="28"/>
        <v>1.997528702998061E-2</v>
      </c>
      <c r="L33" s="7">
        <f t="shared" si="9"/>
        <v>1.0199752870299805</v>
      </c>
      <c r="N33">
        <f t="shared" si="10"/>
        <v>2016</v>
      </c>
      <c r="O33" s="2">
        <f t="shared" si="29"/>
        <v>5517.9700290908013</v>
      </c>
      <c r="P33" s="2"/>
      <c r="Q33" s="2"/>
      <c r="R33">
        <f t="shared" si="5"/>
        <v>2016</v>
      </c>
      <c r="S33" s="2">
        <f t="shared" si="11"/>
        <v>22316.831741630271</v>
      </c>
      <c r="T33" s="2"/>
      <c r="U33" s="2">
        <f t="shared" si="12"/>
        <v>15551.408259678703</v>
      </c>
      <c r="V33" s="2">
        <f t="shared" si="12"/>
        <v>9983.8157499480167</v>
      </c>
      <c r="W33" s="2"/>
      <c r="X33" s="2">
        <f t="shared" si="13"/>
        <v>14091.777951494267</v>
      </c>
      <c r="Y33" s="2">
        <f t="shared" si="13"/>
        <v>42521.694568554027</v>
      </c>
      <c r="Z33" s="2">
        <f t="shared" si="14"/>
        <v>104465.52827130529</v>
      </c>
      <c r="AA33" s="2">
        <f t="shared" si="30"/>
        <v>2061.6891903730575</v>
      </c>
      <c r="AB33" s="6">
        <f t="shared" si="31"/>
        <v>2.0132928695609301E-2</v>
      </c>
      <c r="AC33" s="7">
        <f t="shared" si="15"/>
        <v>1.0201329286956093</v>
      </c>
      <c r="AD33" s="2">
        <f t="shared" si="16"/>
        <v>0</v>
      </c>
      <c r="AE33" s="2"/>
      <c r="AG33">
        <f t="shared" si="17"/>
        <v>2016</v>
      </c>
      <c r="AH33" s="6">
        <f t="shared" si="7"/>
        <v>0.21362866881476619</v>
      </c>
      <c r="AI33" s="6"/>
      <c r="AJ33" s="6">
        <f t="shared" si="7"/>
        <v>0.14886641093022052</v>
      </c>
      <c r="AK33" s="6">
        <f t="shared" si="7"/>
        <v>9.5570432803625455E-2</v>
      </c>
      <c r="AL33" s="7"/>
      <c r="AM33" s="6">
        <f t="shared" si="7"/>
        <v>0.13489404767950627</v>
      </c>
      <c r="AN33" s="6">
        <f t="shared" si="7"/>
        <v>0.40704043977188153</v>
      </c>
      <c r="AO33" s="20">
        <f t="shared" si="46"/>
        <v>1</v>
      </c>
      <c r="AP33" s="7">
        <f t="shared" si="33"/>
        <v>0.59295956022811847</v>
      </c>
      <c r="AQ33" s="7">
        <f t="shared" si="34"/>
        <v>0</v>
      </c>
      <c r="AR33" s="22"/>
      <c r="AS33">
        <f t="shared" si="18"/>
        <v>2016</v>
      </c>
      <c r="AT33" s="1" t="b">
        <f t="shared" si="35"/>
        <v>1</v>
      </c>
      <c r="AU33" s="1"/>
      <c r="AV33" s="1" t="b">
        <f t="shared" si="36"/>
        <v>1</v>
      </c>
      <c r="AW33" s="1" t="b">
        <f t="shared" si="37"/>
        <v>1</v>
      </c>
      <c r="AX33" s="1"/>
      <c r="AY33" s="1" t="b">
        <f t="shared" si="38"/>
        <v>1</v>
      </c>
      <c r="AZ33" s="1" t="b">
        <f t="shared" si="39"/>
        <v>1</v>
      </c>
      <c r="BA33" s="1" t="b">
        <f t="shared" si="40"/>
        <v>1</v>
      </c>
      <c r="BC33">
        <f t="shared" si="19"/>
        <v>2016</v>
      </c>
      <c r="BD33" s="2">
        <f t="shared" si="49"/>
        <v>22316.831741630271</v>
      </c>
      <c r="BE33" s="2"/>
      <c r="BF33" s="2">
        <f>U33</f>
        <v>15551.408259678703</v>
      </c>
      <c r="BG33" s="2">
        <f>V33</f>
        <v>9983.8157499480167</v>
      </c>
      <c r="BH33" s="2"/>
      <c r="BI33" s="2">
        <f>X33</f>
        <v>14091.777951494267</v>
      </c>
      <c r="BJ33" s="2">
        <f>Y33</f>
        <v>42521.694568554027</v>
      </c>
      <c r="BK33" s="2">
        <f t="shared" si="41"/>
        <v>104465.52827130529</v>
      </c>
      <c r="BL33" s="2">
        <f t="shared" si="21"/>
        <v>0</v>
      </c>
      <c r="BM33" s="2"/>
    </row>
    <row r="34" spans="1:65" x14ac:dyDescent="0.2">
      <c r="A34">
        <f t="shared" si="8"/>
        <v>2017</v>
      </c>
      <c r="B34" s="2">
        <f t="shared" si="22"/>
        <v>27152.889180041548</v>
      </c>
      <c r="C34" s="2"/>
      <c r="D34" s="2">
        <f t="shared" si="23"/>
        <v>18599.484278575728</v>
      </c>
      <c r="E34" s="2">
        <f t="shared" si="24"/>
        <v>11591.210085689647</v>
      </c>
      <c r="F34" s="2"/>
      <c r="G34" s="2">
        <f t="shared" si="25"/>
        <v>17952.925110203698</v>
      </c>
      <c r="H34" s="2">
        <f t="shared" si="26"/>
        <v>43992.945200625996</v>
      </c>
      <c r="I34" s="2">
        <f t="shared" ref="I34:I35" si="50">SUM(B34:H34)</f>
        <v>119289.45385513661</v>
      </c>
      <c r="J34" s="2">
        <f t="shared" ref="J34:J35" si="51">I34-I33</f>
        <v>9305.9555547405325</v>
      </c>
      <c r="K34" s="6">
        <f t="shared" ref="K34:K35" si="52">(J34/I33)</f>
        <v>8.4612289102891897E-2</v>
      </c>
      <c r="L34" s="7">
        <f t="shared" ref="L34:L35" si="53">K34+1</f>
        <v>1.084612289102892</v>
      </c>
      <c r="N34">
        <f t="shared" ref="N34:N35" si="54">A34</f>
        <v>2017</v>
      </c>
      <c r="O34" s="2">
        <f t="shared" si="29"/>
        <v>5641.0207607395259</v>
      </c>
      <c r="P34" s="2"/>
      <c r="Q34" s="2"/>
      <c r="R34">
        <f t="shared" ref="R34:R35" si="55">A34</f>
        <v>2017</v>
      </c>
      <c r="S34" s="2">
        <f t="shared" ref="S34:S35" si="56">B34-($O34/5)</f>
        <v>26024.685027893644</v>
      </c>
      <c r="T34" s="2"/>
      <c r="U34" s="2">
        <f t="shared" ref="U34:U35" si="57">D34-($O34/5)</f>
        <v>17471.280126427824</v>
      </c>
      <c r="V34" s="2">
        <f t="shared" ref="V34:V35" si="58">E34-($O34/5)</f>
        <v>10463.005933541741</v>
      </c>
      <c r="W34" s="2"/>
      <c r="X34" s="2">
        <f t="shared" ref="X34:X35" si="59">G34-($O34/5)</f>
        <v>16824.720958055794</v>
      </c>
      <c r="Y34" s="2">
        <f t="shared" ref="Y34:Y35" si="60">H34-($O34/5)</f>
        <v>42864.741048478092</v>
      </c>
      <c r="Z34" s="2">
        <f t="shared" ref="Z34:Z35" si="61">SUM(S34:Y34)</f>
        <v>113648.4330943971</v>
      </c>
      <c r="AA34" s="2">
        <f t="shared" ref="AA34:AA35" si="62">Z34-Z33</f>
        <v>9182.9048230918124</v>
      </c>
      <c r="AB34" s="6">
        <f t="shared" ref="AB34:AB35" si="63">(AA34/Z33)</f>
        <v>8.7903684354546874E-2</v>
      </c>
      <c r="AC34" s="7">
        <f t="shared" ref="AC34:AC35" si="64">AB34+1</f>
        <v>1.0879036843545469</v>
      </c>
      <c r="AD34" s="2">
        <f t="shared" ref="AD34:AD35" si="65">Z34-(I34-O34)</f>
        <v>0</v>
      </c>
      <c r="AE34" s="2"/>
      <c r="AG34">
        <f t="shared" ref="AG34:AG35" si="66">A34</f>
        <v>2017</v>
      </c>
      <c r="AH34" s="6">
        <f t="shared" ref="AH34:AH35" si="67">S34/$Z34</f>
        <v>0.2289929066270309</v>
      </c>
      <c r="AI34" s="6"/>
      <c r="AJ34" s="6">
        <f t="shared" ref="AJ34:AJ35" si="68">U34/$Z34</f>
        <v>0.15373093716053321</v>
      </c>
      <c r="AK34" s="6">
        <f t="shared" ref="AK34:AK35" si="69">V34/$Z34</f>
        <v>9.2064673912847547E-2</v>
      </c>
      <c r="AL34" s="7"/>
      <c r="AM34" s="6">
        <f t="shared" ref="AM34:AM35" si="70">X34/$Z34</f>
        <v>0.14804182072691732</v>
      </c>
      <c r="AN34" s="6">
        <f t="shared" ref="AN34:AN35" si="71">Y34/$Z34</f>
        <v>0.37716966157267096</v>
      </c>
      <c r="AO34" s="20">
        <f t="shared" ref="AO34:AO35" si="72">SUM(AH34:AN34)</f>
        <v>0.99999999999999989</v>
      </c>
      <c r="AP34" s="7">
        <f t="shared" si="33"/>
        <v>0.62283033842732893</v>
      </c>
      <c r="AQ34" s="7">
        <f t="shared" si="34"/>
        <v>0</v>
      </c>
      <c r="AR34" s="22"/>
      <c r="AS34">
        <f t="shared" ref="AS34:AS35" si="73">AG34</f>
        <v>2017</v>
      </c>
      <c r="AT34" s="1" t="b">
        <f t="shared" si="35"/>
        <v>1</v>
      </c>
      <c r="AU34" s="1"/>
      <c r="AV34" s="1" t="b">
        <f t="shared" si="36"/>
        <v>1</v>
      </c>
      <c r="AW34" s="1" t="b">
        <f t="shared" si="37"/>
        <v>1</v>
      </c>
      <c r="AX34" s="1"/>
      <c r="AY34" s="1" t="b">
        <f t="shared" si="38"/>
        <v>1</v>
      </c>
      <c r="AZ34" s="1" t="b">
        <f t="shared" si="39"/>
        <v>1</v>
      </c>
      <c r="BA34" s="1" t="b">
        <f t="shared" ref="BA34:BA35" si="74">AND((Z34/$Z34)&gt;0.999,(Z34/$Z34)&lt;1.01)</f>
        <v>1</v>
      </c>
      <c r="BC34">
        <f t="shared" ref="BC34:BC35" si="75">AS34</f>
        <v>2017</v>
      </c>
      <c r="BD34" s="2">
        <f t="shared" ref="BD34:BD35" si="76">S34</f>
        <v>26024.685027893644</v>
      </c>
      <c r="BE34" s="2"/>
      <c r="BF34" s="2">
        <f t="shared" ref="BF34:BF35" si="77">U34</f>
        <v>17471.280126427824</v>
      </c>
      <c r="BG34" s="2">
        <f t="shared" ref="BG34:BG35" si="78">V34</f>
        <v>10463.005933541741</v>
      </c>
      <c r="BH34" s="2"/>
      <c r="BI34" s="2">
        <f t="shared" ref="BI34:BI35" si="79">X34</f>
        <v>16824.720958055794</v>
      </c>
      <c r="BJ34" s="2">
        <f t="shared" ref="BJ34:BJ35" si="80">Y34</f>
        <v>42864.741048478092</v>
      </c>
      <c r="BK34" s="2">
        <f t="shared" ref="BK34:BK35" si="81">Z34</f>
        <v>113648.4330943971</v>
      </c>
      <c r="BL34" s="2">
        <f t="shared" ref="BL34:BL35" si="82">SUM(BD34:BJ34)-Z34</f>
        <v>0</v>
      </c>
      <c r="BM34" s="2"/>
    </row>
    <row r="35" spans="1:65" x14ac:dyDescent="0.2">
      <c r="A35">
        <f t="shared" si="8"/>
        <v>2018</v>
      </c>
      <c r="B35" s="2">
        <f t="shared" si="22"/>
        <v>24853.574201638428</v>
      </c>
      <c r="C35" s="2"/>
      <c r="D35" s="2">
        <f t="shared" si="23"/>
        <v>15846.451074670036</v>
      </c>
      <c r="E35" s="2">
        <f t="shared" si="24"/>
        <v>9479.4833757888173</v>
      </c>
      <c r="F35" s="2"/>
      <c r="G35" s="2">
        <f t="shared" si="25"/>
        <v>14385.136419137703</v>
      </c>
      <c r="H35" s="2">
        <f t="shared" si="26"/>
        <v>42821.876307429615</v>
      </c>
      <c r="I35" s="2">
        <f t="shared" si="50"/>
        <v>107386.52137866461</v>
      </c>
      <c r="J35" s="2">
        <f t="shared" si="51"/>
        <v>-11902.932476472008</v>
      </c>
      <c r="K35" s="6">
        <f t="shared" si="52"/>
        <v>-9.9781934544915907E-2</v>
      </c>
      <c r="L35" s="7">
        <f t="shared" si="53"/>
        <v>0.90021806545508409</v>
      </c>
      <c r="N35">
        <f t="shared" si="54"/>
        <v>2018</v>
      </c>
      <c r="O35" s="2">
        <f t="shared" si="29"/>
        <v>5765.6238643098659</v>
      </c>
      <c r="P35" s="2"/>
      <c r="Q35" s="2"/>
      <c r="R35">
        <f t="shared" si="55"/>
        <v>2018</v>
      </c>
      <c r="S35" s="2">
        <f t="shared" si="56"/>
        <v>23700.449428776454</v>
      </c>
      <c r="T35" s="2"/>
      <c r="U35" s="2">
        <f t="shared" si="57"/>
        <v>14693.326301808063</v>
      </c>
      <c r="V35" s="2">
        <f t="shared" si="58"/>
        <v>8326.3586029268445</v>
      </c>
      <c r="W35" s="2"/>
      <c r="X35" s="2">
        <f t="shared" si="59"/>
        <v>13232.011646275731</v>
      </c>
      <c r="Y35" s="2">
        <f t="shared" si="60"/>
        <v>41668.751534567644</v>
      </c>
      <c r="Z35" s="2">
        <f t="shared" si="61"/>
        <v>101620.89751435473</v>
      </c>
      <c r="AA35" s="2">
        <f t="shared" si="62"/>
        <v>-12027.535580042371</v>
      </c>
      <c r="AB35" s="6">
        <f t="shared" si="63"/>
        <v>-0.10583107265590037</v>
      </c>
      <c r="AC35" s="7">
        <f t="shared" si="64"/>
        <v>0.89416892734409958</v>
      </c>
      <c r="AD35" s="2">
        <f t="shared" si="65"/>
        <v>0</v>
      </c>
      <c r="AE35" s="2"/>
      <c r="AG35">
        <f t="shared" si="66"/>
        <v>2018</v>
      </c>
      <c r="AH35" s="6">
        <f t="shared" si="67"/>
        <v>0.23322416952112221</v>
      </c>
      <c r="AI35" s="6"/>
      <c r="AJ35" s="6">
        <f t="shared" si="68"/>
        <v>0.14458961356577785</v>
      </c>
      <c r="AK35" s="6">
        <f t="shared" si="69"/>
        <v>8.193549561743127E-2</v>
      </c>
      <c r="AL35" s="7"/>
      <c r="AM35" s="6">
        <f t="shared" si="70"/>
        <v>0.13020955305385498</v>
      </c>
      <c r="AN35" s="6">
        <f t="shared" si="71"/>
        <v>0.4100411682418138</v>
      </c>
      <c r="AO35" s="20">
        <f t="shared" si="72"/>
        <v>1</v>
      </c>
      <c r="AP35" s="7">
        <f t="shared" si="33"/>
        <v>0.58995883175818631</v>
      </c>
      <c r="AQ35" s="7">
        <f t="shared" si="34"/>
        <v>0</v>
      </c>
      <c r="AR35" s="22"/>
      <c r="AS35">
        <f t="shared" si="73"/>
        <v>2018</v>
      </c>
      <c r="AT35" s="1" t="b">
        <f t="shared" si="35"/>
        <v>1</v>
      </c>
      <c r="AU35" s="1"/>
      <c r="AV35" s="1" t="b">
        <f t="shared" si="36"/>
        <v>1</v>
      </c>
      <c r="AW35" s="1" t="b">
        <f t="shared" si="37"/>
        <v>1</v>
      </c>
      <c r="AX35" s="1"/>
      <c r="AY35" s="1" t="b">
        <f t="shared" si="38"/>
        <v>1</v>
      </c>
      <c r="AZ35" s="1" t="b">
        <f t="shared" si="39"/>
        <v>1</v>
      </c>
      <c r="BA35" s="1" t="b">
        <f t="shared" si="74"/>
        <v>1</v>
      </c>
      <c r="BC35">
        <f t="shared" si="75"/>
        <v>2018</v>
      </c>
      <c r="BD35" s="2">
        <f t="shared" si="76"/>
        <v>23700.449428776454</v>
      </c>
      <c r="BE35" s="2"/>
      <c r="BF35" s="2">
        <f t="shared" si="77"/>
        <v>14693.326301808063</v>
      </c>
      <c r="BG35" s="2">
        <f t="shared" si="78"/>
        <v>8326.3586029268445</v>
      </c>
      <c r="BH35" s="2"/>
      <c r="BI35" s="2">
        <f t="shared" si="79"/>
        <v>13232.011646275731</v>
      </c>
      <c r="BJ35" s="2">
        <f t="shared" si="80"/>
        <v>41668.751534567644</v>
      </c>
      <c r="BK35" s="2">
        <f t="shared" si="81"/>
        <v>101620.89751435473</v>
      </c>
      <c r="BL35" s="2">
        <f t="shared" si="82"/>
        <v>0</v>
      </c>
      <c r="BM35" s="2"/>
    </row>
    <row r="36" spans="1:65" x14ac:dyDescent="0.2">
      <c r="A36">
        <f t="shared" ref="A36:A37" si="83">A16</f>
        <v>2019</v>
      </c>
      <c r="B36" s="2">
        <f t="shared" ref="B36:B37" si="84">BD35*(1+(B16/100))</f>
        <v>31155.662801092374</v>
      </c>
      <c r="C36" s="2"/>
      <c r="D36" s="2">
        <f t="shared" ref="D36:E36" si="85">BF35*(1+(D16/100))</f>
        <v>19252.900546479934</v>
      </c>
      <c r="E36" s="2">
        <f t="shared" si="85"/>
        <v>10605.066467224246</v>
      </c>
      <c r="F36" s="2"/>
      <c r="G36" s="2">
        <f t="shared" ref="G36:H36" si="86">BI35*(1+(G16/100))</f>
        <v>16077.952711156713</v>
      </c>
      <c r="H36" s="2">
        <f t="shared" si="86"/>
        <v>45299.766543289865</v>
      </c>
      <c r="I36" s="2">
        <f t="shared" ref="I36:I37" si="87">SUM(B36:H36)</f>
        <v>122391.34906924314</v>
      </c>
      <c r="J36" s="2">
        <f t="shared" ref="J36:J37" si="88">I36-I35</f>
        <v>15004.827690578531</v>
      </c>
      <c r="K36" s="6">
        <f t="shared" ref="K36:K37" si="89">(J36/I35)</f>
        <v>0.13972729070596068</v>
      </c>
      <c r="L36" s="7">
        <f t="shared" ref="L36:L37" si="90">K36+1</f>
        <v>1.1397272907059608</v>
      </c>
      <c r="N36">
        <f t="shared" ref="N36:N37" si="91">A36</f>
        <v>2019</v>
      </c>
      <c r="O36" s="2">
        <f t="shared" ref="O36:O37" si="92">O35*(1+O16)</f>
        <v>5897.4431869990631</v>
      </c>
      <c r="P36" s="2"/>
      <c r="Q36" s="2"/>
      <c r="R36">
        <f t="shared" ref="R36:R37" si="93">A36</f>
        <v>2019</v>
      </c>
      <c r="S36" s="2">
        <f t="shared" ref="S36:S37" si="94">B36-($O36/5)</f>
        <v>29976.174163692562</v>
      </c>
      <c r="T36" s="2"/>
      <c r="U36" s="2">
        <f t="shared" ref="U36:U37" si="95">D36-($O36/5)</f>
        <v>18073.411909080121</v>
      </c>
      <c r="V36" s="2">
        <f t="shared" ref="V36:V37" si="96">E36-($O36/5)</f>
        <v>9425.5778298244331</v>
      </c>
      <c r="W36" s="2"/>
      <c r="X36" s="2">
        <f t="shared" ref="X36:X37" si="97">G36-($O36/5)</f>
        <v>14898.464073756901</v>
      </c>
      <c r="Y36" s="2">
        <f t="shared" ref="Y36:Y37" si="98">H36-($O36/5)</f>
        <v>44120.277905890049</v>
      </c>
      <c r="Z36" s="2">
        <f t="shared" ref="Z36:Z37" si="99">SUM(S36:Y36)</f>
        <v>116493.90588224407</v>
      </c>
      <c r="AA36" s="2">
        <f t="shared" ref="AA36:AA37" si="100">Z36-Z35</f>
        <v>14873.008367889342</v>
      </c>
      <c r="AB36" s="6">
        <f t="shared" ref="AB36:AB37" si="101">(AA36/Z35)</f>
        <v>0.14635777415554135</v>
      </c>
      <c r="AC36" s="7">
        <f t="shared" ref="AC36:AC37" si="102">AB36+1</f>
        <v>1.1463577741555413</v>
      </c>
      <c r="AD36" s="2">
        <f t="shared" ref="AD36:AD37" si="103">Z36-(I36-O36)</f>
        <v>0</v>
      </c>
      <c r="AE36" s="2"/>
      <c r="AG36">
        <f t="shared" ref="AG36:AG37" si="104">A36</f>
        <v>2019</v>
      </c>
      <c r="AH36" s="6">
        <f t="shared" ref="AH36:AH37" si="105">S36/$Z36</f>
        <v>0.25731967639572045</v>
      </c>
      <c r="AI36" s="6"/>
      <c r="AJ36" s="6">
        <f t="shared" ref="AJ36:AJ37" si="106">U36/$Z36</f>
        <v>0.15514469853340937</v>
      </c>
      <c r="AK36" s="6">
        <f t="shared" ref="AK36:AK37" si="107">V36/$Z36</f>
        <v>8.0910479895421494E-2</v>
      </c>
      <c r="AL36" s="7"/>
      <c r="AM36" s="6">
        <f t="shared" ref="AM36:AM37" si="108">X36/$Z36</f>
        <v>0.1278905017470765</v>
      </c>
      <c r="AN36" s="6">
        <f t="shared" ref="AN36:AN37" si="109">Y36/$Z36</f>
        <v>0.3787346434283721</v>
      </c>
      <c r="AO36" s="20">
        <f t="shared" ref="AO36:AO37" si="110">SUM(AH36:AN36)</f>
        <v>0.99999999999999978</v>
      </c>
      <c r="AP36" s="7">
        <f t="shared" ref="AP36:AP37" si="111">SUM(AH36:AM36)</f>
        <v>0.62126535657162774</v>
      </c>
      <c r="AQ36" s="7">
        <f t="shared" ref="AQ36:AQ37" si="112">AO36-(AP36+AN36)</f>
        <v>0</v>
      </c>
      <c r="AR36" s="22"/>
      <c r="AS36">
        <f t="shared" ref="AS36:AS37" si="113">AG36</f>
        <v>2019</v>
      </c>
      <c r="AT36" s="65" t="b">
        <f t="shared" si="35"/>
        <v>0</v>
      </c>
      <c r="AU36" s="1"/>
      <c r="AV36" s="1" t="b">
        <f t="shared" si="36"/>
        <v>1</v>
      </c>
      <c r="AW36" s="1" t="b">
        <f t="shared" si="37"/>
        <v>1</v>
      </c>
      <c r="AX36" s="1"/>
      <c r="AY36" s="1" t="b">
        <f t="shared" si="38"/>
        <v>1</v>
      </c>
      <c r="AZ36" s="1" t="b">
        <f t="shared" si="39"/>
        <v>1</v>
      </c>
      <c r="BA36" s="1" t="b">
        <f t="shared" ref="BA36:BA37" si="114">AND((Z36/$Z36)&gt;0.999,(Z36/$Z36)&lt;1.01)</f>
        <v>1</v>
      </c>
      <c r="BC36">
        <f t="shared" ref="BC36:BC37" si="115">AS36</f>
        <v>2019</v>
      </c>
      <c r="BD36" s="36">
        <f>BD$23*$Z36</f>
        <v>23298.781176448814</v>
      </c>
      <c r="BE36" s="2"/>
      <c r="BF36" s="36">
        <f>BF$23*$Z36</f>
        <v>17474.085882336611</v>
      </c>
      <c r="BG36" s="36">
        <f>BG$23*$Z36</f>
        <v>11649.390588224407</v>
      </c>
      <c r="BH36" s="2"/>
      <c r="BI36" s="36">
        <f>BI$23*$Z36</f>
        <v>17474.085882336611</v>
      </c>
      <c r="BJ36" s="36">
        <f>BJ$23*$Z36</f>
        <v>46597.562352897628</v>
      </c>
      <c r="BK36" s="2">
        <f t="shared" ref="BK36:BK37" si="116">Z36</f>
        <v>116493.90588224407</v>
      </c>
      <c r="BL36" s="2">
        <f t="shared" ref="BL36:BL37" si="117">SUM(BD36:BJ36)-Z36</f>
        <v>0</v>
      </c>
      <c r="BM36" s="2"/>
    </row>
    <row r="37" spans="1:65" x14ac:dyDescent="0.2">
      <c r="A37">
        <f t="shared" si="83"/>
        <v>2020</v>
      </c>
      <c r="B37" s="2">
        <f t="shared" si="84"/>
        <v>27578.76727856246</v>
      </c>
      <c r="C37" s="2"/>
      <c r="D37" s="2">
        <f t="shared" ref="D37:E37" si="118">BF36*(1+(D17/100))</f>
        <v>20661.359147274805</v>
      </c>
      <c r="E37" s="2">
        <f t="shared" si="118"/>
        <v>13875.589129634092</v>
      </c>
      <c r="F37" s="2"/>
      <c r="G37" s="2">
        <f t="shared" ref="G37:H37" si="119">BI36*(1+(G17/100))</f>
        <v>19445.162769864182</v>
      </c>
      <c r="H37" s="2">
        <f t="shared" si="119"/>
        <v>50194.894166541322</v>
      </c>
      <c r="I37" s="2">
        <f t="shared" si="87"/>
        <v>131755.77249187685</v>
      </c>
      <c r="J37" s="2">
        <f t="shared" si="88"/>
        <v>9364.4234226337139</v>
      </c>
      <c r="K37" s="6">
        <f t="shared" si="89"/>
        <v>7.6512134998493839E-2</v>
      </c>
      <c r="L37" s="7">
        <f t="shared" si="90"/>
        <v>1.0765121349984939</v>
      </c>
      <c r="N37">
        <f t="shared" si="91"/>
        <v>2020</v>
      </c>
      <c r="O37" s="2">
        <f t="shared" si="92"/>
        <v>5897.4431869990631</v>
      </c>
      <c r="P37" s="2"/>
      <c r="Q37" s="2"/>
      <c r="R37">
        <f t="shared" si="93"/>
        <v>2020</v>
      </c>
      <c r="S37" s="2">
        <f t="shared" si="94"/>
        <v>26399.278641162648</v>
      </c>
      <c r="T37" s="2"/>
      <c r="U37" s="2">
        <f t="shared" si="95"/>
        <v>19481.870509874992</v>
      </c>
      <c r="V37" s="2">
        <f t="shared" si="96"/>
        <v>12696.10049223428</v>
      </c>
      <c r="W37" s="2"/>
      <c r="X37" s="2">
        <f t="shared" si="97"/>
        <v>18265.67413246437</v>
      </c>
      <c r="Y37" s="2">
        <f t="shared" si="98"/>
        <v>49015.405529141506</v>
      </c>
      <c r="Z37" s="2">
        <f t="shared" si="99"/>
        <v>125858.32930487779</v>
      </c>
      <c r="AA37" s="2">
        <f t="shared" si="100"/>
        <v>9364.4234226337139</v>
      </c>
      <c r="AB37" s="6">
        <f t="shared" si="101"/>
        <v>8.0385521901030474E-2</v>
      </c>
      <c r="AC37" s="7">
        <f t="shared" si="102"/>
        <v>1.0803855219010305</v>
      </c>
      <c r="AD37" s="2">
        <f t="shared" si="103"/>
        <v>0</v>
      </c>
      <c r="AE37" s="2"/>
      <c r="AG37">
        <f t="shared" si="104"/>
        <v>2020</v>
      </c>
      <c r="AH37" s="6">
        <f t="shared" si="105"/>
        <v>0.20975392560005571</v>
      </c>
      <c r="AI37" s="6"/>
      <c r="AJ37" s="6">
        <f t="shared" si="106"/>
        <v>0.15479206356444103</v>
      </c>
      <c r="AK37" s="6">
        <f t="shared" si="107"/>
        <v>0.1008761244675304</v>
      </c>
      <c r="AL37" s="7"/>
      <c r="AM37" s="6">
        <f t="shared" si="108"/>
        <v>0.14512884632544112</v>
      </c>
      <c r="AN37" s="6">
        <f t="shared" si="109"/>
        <v>0.38944904004253184</v>
      </c>
      <c r="AO37" s="20">
        <f t="shared" si="110"/>
        <v>1.0000000000000002</v>
      </c>
      <c r="AP37" s="7">
        <f t="shared" si="111"/>
        <v>0.61055095995746833</v>
      </c>
      <c r="AQ37" s="7">
        <f t="shared" si="112"/>
        <v>0</v>
      </c>
      <c r="AR37" s="22"/>
      <c r="AS37">
        <f t="shared" si="113"/>
        <v>2020</v>
      </c>
      <c r="AT37" s="1" t="b">
        <f t="shared" si="35"/>
        <v>1</v>
      </c>
      <c r="AU37" s="1"/>
      <c r="AV37" s="1" t="b">
        <f t="shared" si="36"/>
        <v>1</v>
      </c>
      <c r="AW37" s="1" t="b">
        <f t="shared" si="37"/>
        <v>1</v>
      </c>
      <c r="AX37" s="1"/>
      <c r="AY37" s="1" t="b">
        <f t="shared" si="38"/>
        <v>1</v>
      </c>
      <c r="AZ37" s="1" t="b">
        <f t="shared" si="39"/>
        <v>1</v>
      </c>
      <c r="BA37" s="1" t="b">
        <f t="shared" si="114"/>
        <v>1</v>
      </c>
      <c r="BC37">
        <f t="shared" si="115"/>
        <v>2020</v>
      </c>
      <c r="BD37" s="2">
        <f t="shared" ref="BD37" si="120">S37</f>
        <v>26399.278641162648</v>
      </c>
      <c r="BE37" s="2"/>
      <c r="BF37" s="2">
        <f t="shared" ref="BF37" si="121">U37</f>
        <v>19481.870509874992</v>
      </c>
      <c r="BG37" s="2">
        <f t="shared" ref="BG37" si="122">V37</f>
        <v>12696.10049223428</v>
      </c>
      <c r="BH37" s="2"/>
      <c r="BI37" s="2">
        <f t="shared" ref="BI37" si="123">X37</f>
        <v>18265.67413246437</v>
      </c>
      <c r="BJ37" s="2">
        <f t="shared" ref="BJ37" si="124">Y37</f>
        <v>49015.405529141506</v>
      </c>
      <c r="BK37" s="2">
        <f t="shared" si="116"/>
        <v>125858.32930487779</v>
      </c>
      <c r="BL37" s="2">
        <f t="shared" si="117"/>
        <v>0</v>
      </c>
      <c r="BM37" s="2"/>
    </row>
    <row r="38" spans="1:65" x14ac:dyDescent="0.2">
      <c r="A38" s="9" t="s">
        <v>44</v>
      </c>
      <c r="B38" s="10">
        <f>BD37</f>
        <v>26399.278641162648</v>
      </c>
      <c r="C38" s="10"/>
      <c r="D38" s="10">
        <f>BF37</f>
        <v>19481.870509874992</v>
      </c>
      <c r="E38" s="10">
        <f>BG37</f>
        <v>12696.10049223428</v>
      </c>
      <c r="F38" s="10"/>
      <c r="G38" s="10">
        <f>BI37</f>
        <v>18265.67413246437</v>
      </c>
      <c r="H38" s="10">
        <f>BJ37</f>
        <v>49015.405529141506</v>
      </c>
      <c r="I38" s="10">
        <f t="shared" si="6"/>
        <v>125858.32930487779</v>
      </c>
      <c r="J38" s="10"/>
      <c r="K38" s="10"/>
      <c r="N38" t="s">
        <v>75</v>
      </c>
      <c r="O38" s="2">
        <f>O37</f>
        <v>5897.4431869990631</v>
      </c>
      <c r="P38" s="2"/>
      <c r="R38" s="9" t="s">
        <v>44</v>
      </c>
      <c r="S38" s="10">
        <f>S37</f>
        <v>26399.278641162648</v>
      </c>
      <c r="T38" s="10"/>
      <c r="U38" s="10">
        <f>U37</f>
        <v>19481.870509874992</v>
      </c>
      <c r="V38" s="10">
        <f>V37</f>
        <v>12696.10049223428</v>
      </c>
      <c r="W38" s="10"/>
      <c r="X38" s="10">
        <f>X37</f>
        <v>18265.67413246437</v>
      </c>
      <c r="Y38" s="10">
        <f>Y37</f>
        <v>49015.405529141506</v>
      </c>
      <c r="Z38" s="10">
        <f>Z37</f>
        <v>125858.32930487779</v>
      </c>
      <c r="AA38" s="10"/>
      <c r="AB38" s="10"/>
      <c r="AD38" s="40"/>
      <c r="AE38" s="40"/>
      <c r="AG38" s="68" t="s">
        <v>169</v>
      </c>
      <c r="AH38" s="69">
        <f>AH37</f>
        <v>0.20975392560005571</v>
      </c>
      <c r="AI38" s="68"/>
      <c r="AJ38" s="69">
        <f>AJ37</f>
        <v>0.15479206356444103</v>
      </c>
      <c r="AK38" s="68"/>
      <c r="AL38" s="68"/>
      <c r="AM38" s="69">
        <f>AM37</f>
        <v>0.14512884632544112</v>
      </c>
      <c r="AN38" s="69">
        <f>AN37</f>
        <v>0.38944904004253184</v>
      </c>
      <c r="AO38" s="69">
        <f>AO37</f>
        <v>1.0000000000000002</v>
      </c>
      <c r="AP38" s="69">
        <f>AP37</f>
        <v>0.61055095995746833</v>
      </c>
    </row>
    <row r="39" spans="1:65" x14ac:dyDescent="0.2">
      <c r="A39" s="11" t="s">
        <v>88</v>
      </c>
      <c r="I39" s="6">
        <f>(Z38-Z23)/Z23</f>
        <v>0.25858329304877786</v>
      </c>
      <c r="K39" s="6"/>
      <c r="N39" t="s">
        <v>36</v>
      </c>
      <c r="O39" s="2">
        <f>SUM(O24:O37)</f>
        <v>74965.920328989669</v>
      </c>
      <c r="P39" s="2"/>
      <c r="AB39" s="6"/>
      <c r="AJ39" s="7"/>
    </row>
    <row r="40" spans="1:65" x14ac:dyDescent="0.2">
      <c r="A40" s="1" t="s">
        <v>89</v>
      </c>
      <c r="I40" s="12">
        <f>STDEV(AC24:AC37)</f>
        <v>0.11245714205704385</v>
      </c>
      <c r="AK40" s="70"/>
      <c r="AL40" s="70"/>
      <c r="AM40" s="71" t="s">
        <v>170</v>
      </c>
      <c r="AN40" s="70" t="b">
        <f>IF((AN37=AN38),TRUE,FALSE)</f>
        <v>1</v>
      </c>
      <c r="AO40" s="70"/>
      <c r="AP40" s="72" t="b">
        <f>IF(((SUM(AH37:AM37))=AP38),TRUE,FALSE)</f>
        <v>1</v>
      </c>
    </row>
    <row r="41" spans="1:65" x14ac:dyDescent="0.2">
      <c r="A41" s="1" t="s">
        <v>90</v>
      </c>
      <c r="I41" s="13">
        <f>((1+I39)^(1/I48))-1</f>
        <v>1.6563298015735528E-2</v>
      </c>
    </row>
    <row r="42" spans="1:65" x14ac:dyDescent="0.2">
      <c r="A42" s="1" t="s">
        <v>48</v>
      </c>
      <c r="I42" s="27">
        <f>AA25</f>
        <v>-26923.604794107494</v>
      </c>
      <c r="O42" s="2"/>
      <c r="P42" s="2"/>
    </row>
    <row r="43" spans="1:65" x14ac:dyDescent="0.2">
      <c r="A43" s="1" t="s">
        <v>49</v>
      </c>
      <c r="I43" s="28">
        <f>AB25</f>
        <v>-0.26300451688713372</v>
      </c>
    </row>
    <row r="44" spans="1:65" x14ac:dyDescent="0.2">
      <c r="A44" s="1" t="s">
        <v>77</v>
      </c>
      <c r="I44" s="2">
        <f>O39</f>
        <v>74965.920328989669</v>
      </c>
    </row>
    <row r="45" spans="1:65" x14ac:dyDescent="0.2">
      <c r="A45" s="3" t="s">
        <v>50</v>
      </c>
      <c r="I45" s="29">
        <f>I38-Z37</f>
        <v>0</v>
      </c>
    </row>
    <row r="46" spans="1:65" x14ac:dyDescent="0.2">
      <c r="A46" s="3" t="s">
        <v>134</v>
      </c>
      <c r="I46" s="29">
        <f>((SUM(AA24:AA37)))-(I38-I23)</f>
        <v>0</v>
      </c>
    </row>
    <row r="47" spans="1:65" x14ac:dyDescent="0.2">
      <c r="A47" s="3" t="s">
        <v>135</v>
      </c>
      <c r="I47" s="29">
        <f>(SUM(O24:O37))-I44</f>
        <v>0</v>
      </c>
    </row>
    <row r="48" spans="1:65" x14ac:dyDescent="0.2">
      <c r="A48" s="3" t="s">
        <v>139</v>
      </c>
      <c r="I48" s="3">
        <f>COUNTA(I24:I37)</f>
        <v>14</v>
      </c>
    </row>
    <row r="49" spans="1:9" x14ac:dyDescent="0.2">
      <c r="A49" s="80" t="s">
        <v>91</v>
      </c>
      <c r="B49" s="2"/>
      <c r="C49" s="2"/>
      <c r="D49" s="2"/>
      <c r="E49" s="2"/>
      <c r="G49" s="2"/>
      <c r="H49" s="2"/>
      <c r="I49" s="81">
        <f>AP38</f>
        <v>0.61055095995746833</v>
      </c>
    </row>
    <row r="50" spans="1:9" x14ac:dyDescent="0.2">
      <c r="A50" s="80" t="s">
        <v>174</v>
      </c>
      <c r="B50" s="2"/>
      <c r="D50" s="2"/>
      <c r="E50" s="2"/>
      <c r="G50" s="2"/>
      <c r="H50" s="2"/>
      <c r="I50" s="81">
        <f>AN38</f>
        <v>0.38944904004253184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3E133-1B63-4292-A760-C359A123682A}">
  <dimension ref="A1:BM49"/>
  <sheetViews>
    <sheetView topLeftCell="A19" zoomScaleNormal="100" workbookViewId="0">
      <selection activeCell="A35" sqref="A35:XFD36"/>
    </sheetView>
  </sheetViews>
  <sheetFormatPr baseColWidth="10" defaultColWidth="8.83203125" defaultRowHeight="15" x14ac:dyDescent="0.2"/>
  <cols>
    <col min="1" max="1" width="25.5" customWidth="1"/>
    <col min="2" max="2" width="9.33203125" bestFit="1" customWidth="1"/>
    <col min="9" max="9" width="11.6640625" customWidth="1"/>
    <col min="10" max="10" width="10" bestFit="1" customWidth="1"/>
    <col min="11" max="12" width="0" hidden="1" customWidth="1"/>
    <col min="15" max="15" width="9.83203125" bestFit="1" customWidth="1"/>
    <col min="16" max="16" width="9.83203125" customWidth="1"/>
    <col min="18" max="18" width="9.1640625" customWidth="1"/>
    <col min="19" max="19" width="10.83203125" bestFit="1" customWidth="1"/>
    <col min="21" max="21" width="11.83203125" bestFit="1" customWidth="1"/>
    <col min="26" max="26" width="10.83203125" bestFit="1" customWidth="1"/>
    <col min="27" max="27" width="10" bestFit="1" customWidth="1"/>
    <col min="30" max="31" width="10.83203125" customWidth="1"/>
    <col min="56" max="56" width="10.83203125" bestFit="1" customWidth="1"/>
    <col min="63" max="63" width="9.33203125" bestFit="1" customWidth="1"/>
  </cols>
  <sheetData>
    <row r="1" spans="1:16" x14ac:dyDescent="0.2">
      <c r="A1" s="18" t="s">
        <v>17</v>
      </c>
      <c r="N1" s="18" t="s">
        <v>131</v>
      </c>
    </row>
    <row r="2" spans="1:16" x14ac:dyDescent="0.2">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5" spans="1:16" x14ac:dyDescent="0.2">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'4.5% Withdrawals-No Rebalancing'!N15</f>
        <v>2018</v>
      </c>
      <c r="O15" s="47">
        <f>'4.5% Withdrawals-No Rebalancing'!O15</f>
        <v>2.2088751106458498E-2</v>
      </c>
      <c r="P15" s="41"/>
    </row>
    <row r="16" spans="1:16" x14ac:dyDescent="0.2">
      <c r="A16" s="16">
        <f>'Non-Rebalanced Strategy'!A16</f>
        <v>2019</v>
      </c>
      <c r="B16" s="16">
        <f>'Non-Rebalanced Strategy'!B16</f>
        <v>31.456</v>
      </c>
      <c r="C16" s="16"/>
      <c r="D16" s="16">
        <f>'Non-Rebalanced Strategy'!D16</f>
        <v>31.031600000000001</v>
      </c>
      <c r="E16" s="16">
        <f>'Non-Rebalanced Strategy'!E16</f>
        <v>27.3674</v>
      </c>
      <c r="F16" s="16"/>
      <c r="G16" s="16">
        <f>'Non-Rebalanced Strategy'!G16</f>
        <v>21.507999999999999</v>
      </c>
      <c r="H16" s="16">
        <f>'Non-Rebalanced Strategy'!H16</f>
        <v>8.7140000000000004</v>
      </c>
      <c r="N16" s="46">
        <f>'4.5% Withdrawals-No Rebalancing'!N16</f>
        <v>2019</v>
      </c>
      <c r="O16" s="47">
        <f>'4.5% Withdrawals-No Rebalancing'!O16</f>
        <v>2.2862976460393248E-2</v>
      </c>
      <c r="P16" s="41"/>
    </row>
    <row r="17" spans="1:65" x14ac:dyDescent="0.2">
      <c r="A17" s="16">
        <f>'Non-Rebalanced Strategy'!A17</f>
        <v>2020</v>
      </c>
      <c r="B17" s="16">
        <f>'Non-Rebalanced Strategy'!B17</f>
        <v>18.37</v>
      </c>
      <c r="C17" s="16"/>
      <c r="D17" s="16">
        <f>'Non-Rebalanced Strategy'!D17</f>
        <v>18.239999999999998</v>
      </c>
      <c r="E17" s="16">
        <f>'Non-Rebalanced Strategy'!E17</f>
        <v>19.11</v>
      </c>
      <c r="F17" s="16"/>
      <c r="G17" s="16">
        <f>'Non-Rebalanced Strategy'!G17</f>
        <v>11.28</v>
      </c>
      <c r="H17" s="16">
        <f>'Non-Rebalanced Strategy'!H17</f>
        <v>7.72</v>
      </c>
      <c r="N17" s="46">
        <f>'4.5% Withdrawals-No Rebalancing'!N17</f>
        <v>0</v>
      </c>
      <c r="O17" s="47">
        <f>'4.5% Withdrawals-No Rebalancing'!O17</f>
        <v>0</v>
      </c>
      <c r="P17" s="41"/>
    </row>
    <row r="19" spans="1:65" x14ac:dyDescent="0.2">
      <c r="A19" s="18" t="s">
        <v>103</v>
      </c>
      <c r="N19" s="18" t="s">
        <v>64</v>
      </c>
      <c r="R19" s="18" t="s">
        <v>104</v>
      </c>
      <c r="AG19" s="18" t="s">
        <v>105</v>
      </c>
      <c r="AS19" s="18" t="s">
        <v>65</v>
      </c>
      <c r="BC19" s="18" t="s">
        <v>106</v>
      </c>
    </row>
    <row r="20" spans="1:65" x14ac:dyDescent="0.2">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42</v>
      </c>
      <c r="K20" s="5" t="s">
        <v>39</v>
      </c>
      <c r="L20" s="5" t="s">
        <v>40</v>
      </c>
      <c r="O20" s="66">
        <v>4.4999999999999998E-2</v>
      </c>
      <c r="S20" s="4" t="str">
        <f t="shared" ref="S20:Z22" si="1">B20</f>
        <v>LC Stocks</v>
      </c>
      <c r="T20" s="4" t="str">
        <f t="shared" si="1"/>
        <v>Ext Mkt</v>
      </c>
      <c r="U20" s="4" t="str">
        <f t="shared" si="1"/>
        <v>Mcap Stk</v>
      </c>
      <c r="V20" s="4" t="str">
        <f t="shared" si="1"/>
        <v>Small Cap</v>
      </c>
      <c r="W20" s="4" t="str">
        <f t="shared" si="1"/>
        <v>Intl Val</v>
      </c>
      <c r="X20" s="4" t="str">
        <f t="shared" si="1"/>
        <v>Tot Int Stk</v>
      </c>
      <c r="Y20" s="4" t="str">
        <f t="shared" si="1"/>
        <v>Bonds</v>
      </c>
      <c r="Z20" s="5"/>
      <c r="AA20" s="5" t="s">
        <v>42</v>
      </c>
      <c r="AB20" s="5" t="s">
        <v>39</v>
      </c>
      <c r="AC20" s="5" t="s">
        <v>40</v>
      </c>
      <c r="AD20" s="5" t="s">
        <v>54</v>
      </c>
      <c r="AE20" s="5"/>
      <c r="AH20" s="4" t="str">
        <f t="shared" ref="AH20:AN21" si="2">B20</f>
        <v>LC Stocks</v>
      </c>
      <c r="AI20" s="4" t="str">
        <f t="shared" si="2"/>
        <v>Ext Mkt</v>
      </c>
      <c r="AJ20" s="4" t="str">
        <f t="shared" si="2"/>
        <v>Mcap Stk</v>
      </c>
      <c r="AK20" s="4" t="str">
        <f t="shared" si="2"/>
        <v>Small Cap</v>
      </c>
      <c r="AL20" s="4" t="str">
        <f t="shared" si="2"/>
        <v>Intl Val</v>
      </c>
      <c r="AM20" s="4" t="str">
        <f t="shared" si="2"/>
        <v>Tot Int Stk</v>
      </c>
      <c r="AN20" s="4" t="str">
        <f t="shared" si="2"/>
        <v>Bonds</v>
      </c>
      <c r="AO20" s="5"/>
      <c r="AP20" s="5" t="s">
        <v>171</v>
      </c>
      <c r="AQ20" s="3" t="s">
        <v>172</v>
      </c>
      <c r="AT20" s="4" t="str">
        <f t="shared" ref="AT20:AZ21" si="3">AH20</f>
        <v>LC Stocks</v>
      </c>
      <c r="AU20" s="4" t="str">
        <f t="shared" si="3"/>
        <v>Ext Mkt</v>
      </c>
      <c r="AV20" s="4" t="str">
        <f t="shared" si="3"/>
        <v>Mcap Stk</v>
      </c>
      <c r="AW20" s="4" t="str">
        <f t="shared" si="3"/>
        <v>Small Cap</v>
      </c>
      <c r="AX20" s="4" t="str">
        <f t="shared" si="3"/>
        <v>Intl Val</v>
      </c>
      <c r="AY20" s="4" t="str">
        <f t="shared" si="3"/>
        <v>Tot Int Stk</v>
      </c>
      <c r="AZ20" s="4" t="str">
        <f t="shared" si="3"/>
        <v>Bonds</v>
      </c>
      <c r="BA20" s="5"/>
      <c r="BD20" s="4" t="str">
        <f>AT20</f>
        <v>LC Stocks</v>
      </c>
      <c r="BE20" s="4" t="str">
        <f t="shared" ref="BE20:BK22" si="4">AU20</f>
        <v>Ext Mkt</v>
      </c>
      <c r="BF20" s="4" t="str">
        <f t="shared" si="4"/>
        <v>Mcap Stk</v>
      </c>
      <c r="BG20" s="4" t="str">
        <f t="shared" si="4"/>
        <v>Small Cap</v>
      </c>
      <c r="BH20" s="4" t="str">
        <f t="shared" si="4"/>
        <v>Intl Val</v>
      </c>
      <c r="BI20" s="4" t="str">
        <f t="shared" si="4"/>
        <v>Tot Int Stk</v>
      </c>
      <c r="BJ20" s="4" t="str">
        <f t="shared" si="4"/>
        <v>Bonds</v>
      </c>
      <c r="BK20" s="4"/>
      <c r="BL20" t="s">
        <v>54</v>
      </c>
    </row>
    <row r="21" spans="1:65" x14ac:dyDescent="0.2">
      <c r="A21" t="s">
        <v>38</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36</v>
      </c>
      <c r="J21" s="5" t="s">
        <v>43</v>
      </c>
      <c r="K21" s="5" t="s">
        <v>41</v>
      </c>
      <c r="L21" s="5" t="s">
        <v>41</v>
      </c>
      <c r="R21" t="str">
        <f t="shared" ref="R21:R32" si="5">A21</f>
        <v>Fund</v>
      </c>
      <c r="S21" s="4" t="str">
        <f t="shared" si="1"/>
        <v>VFINX</v>
      </c>
      <c r="T21" s="4" t="str">
        <f t="shared" si="1"/>
        <v>VEXMX</v>
      </c>
      <c r="U21" s="4" t="str">
        <f t="shared" si="1"/>
        <v>VIMSX</v>
      </c>
      <c r="V21" s="4" t="str">
        <f t="shared" si="1"/>
        <v>NAESX</v>
      </c>
      <c r="W21" s="4" t="str">
        <f t="shared" si="1"/>
        <v>VTRIX</v>
      </c>
      <c r="X21" s="4" t="str">
        <f t="shared" si="1"/>
        <v>VGTSX</v>
      </c>
      <c r="Y21" s="4" t="str">
        <f t="shared" si="1"/>
        <v>VBMFX</v>
      </c>
      <c r="Z21" s="5" t="str">
        <f t="shared" si="1"/>
        <v>Total</v>
      </c>
      <c r="AA21" s="5" t="s">
        <v>43</v>
      </c>
      <c r="AB21" s="5" t="s">
        <v>41</v>
      </c>
      <c r="AC21" s="5" t="s">
        <v>41</v>
      </c>
      <c r="AD21" s="5" t="s">
        <v>53</v>
      </c>
      <c r="AE21" s="5"/>
      <c r="AG21" t="s">
        <v>38</v>
      </c>
      <c r="AH21" s="4" t="str">
        <f t="shared" si="2"/>
        <v>VFINX</v>
      </c>
      <c r="AI21" s="4" t="str">
        <f t="shared" si="2"/>
        <v>VEXMX</v>
      </c>
      <c r="AJ21" s="4" t="str">
        <f t="shared" si="2"/>
        <v>VIMSX</v>
      </c>
      <c r="AK21" s="4" t="str">
        <f t="shared" si="2"/>
        <v>NAESX</v>
      </c>
      <c r="AL21" s="4" t="str">
        <f t="shared" si="2"/>
        <v>VTRIX</v>
      </c>
      <c r="AM21" s="4" t="str">
        <f t="shared" si="2"/>
        <v>VGTSX</v>
      </c>
      <c r="AN21" s="4" t="str">
        <f t="shared" si="2"/>
        <v>VBMFX</v>
      </c>
      <c r="AO21" s="5" t="s">
        <v>36</v>
      </c>
      <c r="AP21" s="5" t="s">
        <v>172</v>
      </c>
      <c r="AQ21" s="3" t="s">
        <v>53</v>
      </c>
      <c r="AS21" t="str">
        <f>AG21</f>
        <v>Fund</v>
      </c>
      <c r="AT21" s="4" t="str">
        <f t="shared" si="3"/>
        <v>VFINX</v>
      </c>
      <c r="AU21" s="4" t="str">
        <f t="shared" si="3"/>
        <v>VEXMX</v>
      </c>
      <c r="AV21" s="4" t="str">
        <f t="shared" si="3"/>
        <v>VIMSX</v>
      </c>
      <c r="AW21" s="4" t="str">
        <f t="shared" si="3"/>
        <v>NAESX</v>
      </c>
      <c r="AX21" s="4" t="str">
        <f t="shared" si="3"/>
        <v>VTRIX</v>
      </c>
      <c r="AY21" s="4" t="str">
        <f t="shared" si="3"/>
        <v>VGTSX</v>
      </c>
      <c r="AZ21" s="4" t="str">
        <f t="shared" si="3"/>
        <v>VBMFX</v>
      </c>
      <c r="BA21" s="4" t="str">
        <f>AO21</f>
        <v>Total</v>
      </c>
      <c r="BC21" t="s">
        <v>38</v>
      </c>
      <c r="BD21" s="4" t="str">
        <f>AT21</f>
        <v>VFINX</v>
      </c>
      <c r="BE21" s="4" t="str">
        <f t="shared" si="4"/>
        <v>VEXMX</v>
      </c>
      <c r="BF21" s="4" t="str">
        <f t="shared" si="4"/>
        <v>VIMSX</v>
      </c>
      <c r="BG21" s="4" t="str">
        <f t="shared" si="4"/>
        <v>NAESX</v>
      </c>
      <c r="BH21" s="4" t="str">
        <f t="shared" si="4"/>
        <v>VTRIX</v>
      </c>
      <c r="BI21" s="4" t="str">
        <f t="shared" si="4"/>
        <v>VGTSX</v>
      </c>
      <c r="BJ21" s="4" t="str">
        <f t="shared" si="4"/>
        <v>VBMFX</v>
      </c>
      <c r="BK21" s="4" t="str">
        <f t="shared" si="4"/>
        <v>Total</v>
      </c>
      <c r="BL21" t="s">
        <v>53</v>
      </c>
    </row>
    <row r="22" spans="1:65" x14ac:dyDescent="0.2">
      <c r="A22" t="s">
        <v>37</v>
      </c>
      <c r="B22" s="2">
        <v>60000</v>
      </c>
      <c r="C22" s="2"/>
      <c r="D22" s="2"/>
      <c r="E22" s="2"/>
      <c r="F22" s="2"/>
      <c r="G22" s="2"/>
      <c r="H22" s="2">
        <v>40000</v>
      </c>
      <c r="I22" s="2">
        <f t="shared" ref="I22:I37" si="6">SUM(B22:H22)</f>
        <v>100000</v>
      </c>
      <c r="N22" s="19"/>
      <c r="R22" t="str">
        <f t="shared" si="5"/>
        <v>Stating Balance</v>
      </c>
      <c r="S22" s="2">
        <f t="shared" si="1"/>
        <v>60000</v>
      </c>
      <c r="T22" s="2"/>
      <c r="U22" s="2"/>
      <c r="V22" s="2"/>
      <c r="W22" s="2"/>
      <c r="X22" s="2"/>
      <c r="Y22" s="2">
        <f t="shared" si="1"/>
        <v>40000</v>
      </c>
      <c r="Z22" s="2">
        <f t="shared" si="1"/>
        <v>100000</v>
      </c>
      <c r="AD22" s="2"/>
      <c r="AE22" s="2"/>
      <c r="AG22" s="19" t="s">
        <v>52</v>
      </c>
      <c r="AH22" s="6">
        <f t="shared" ref="AH22:AN32" si="7">S22/$Z22</f>
        <v>0.6</v>
      </c>
      <c r="AI22" s="6"/>
      <c r="AJ22" s="6"/>
      <c r="AK22" s="6"/>
      <c r="AL22" s="6"/>
      <c r="AM22" s="6"/>
      <c r="AN22" s="6">
        <f>Y22/$Z22</f>
        <v>0.4</v>
      </c>
      <c r="AO22" s="6">
        <f>Z22/$Z22</f>
        <v>1</v>
      </c>
      <c r="AP22" s="22"/>
      <c r="AR22" s="22"/>
      <c r="AS22" s="19" t="str">
        <f>AG22</f>
        <v>Target Allocation</v>
      </c>
      <c r="AT22" s="22">
        <f>AH22</f>
        <v>0.6</v>
      </c>
      <c r="AU22" s="22">
        <f>AI22</f>
        <v>0</v>
      </c>
      <c r="AV22" s="22">
        <f>AJ22</f>
        <v>0</v>
      </c>
      <c r="AW22" s="22">
        <f>AK22</f>
        <v>0</v>
      </c>
      <c r="AX22" s="22"/>
      <c r="AY22" s="22">
        <f>AM22</f>
        <v>0</v>
      </c>
      <c r="AZ22" s="22">
        <f>AN22</f>
        <v>0.4</v>
      </c>
      <c r="BA22" s="22">
        <f>AO22</f>
        <v>1</v>
      </c>
      <c r="BC22" s="19" t="str">
        <f>AS22</f>
        <v>Target Allocation</v>
      </c>
      <c r="BD22" s="22">
        <f>AT22</f>
        <v>0.6</v>
      </c>
      <c r="BE22" s="22"/>
      <c r="BF22" s="67"/>
      <c r="BG22" s="67"/>
      <c r="BH22" s="67"/>
      <c r="BI22" s="67"/>
      <c r="BJ22" s="22">
        <f t="shared" si="4"/>
        <v>0.4</v>
      </c>
      <c r="BK22" s="22">
        <f t="shared" si="4"/>
        <v>1</v>
      </c>
      <c r="BL22" s="2"/>
    </row>
    <row r="23" spans="1:65" x14ac:dyDescent="0.2">
      <c r="A23">
        <f t="shared" ref="A23:A36" si="8">A4</f>
        <v>2007</v>
      </c>
      <c r="B23" s="2">
        <f>B22*(1+(B4/100))</f>
        <v>63234</v>
      </c>
      <c r="C23" s="2"/>
      <c r="D23" s="2"/>
      <c r="E23" s="2"/>
      <c r="F23" s="2"/>
      <c r="G23" s="2"/>
      <c r="H23" s="2">
        <f>H22*(1+(H4/100))</f>
        <v>42768</v>
      </c>
      <c r="I23" s="2">
        <f t="shared" si="6"/>
        <v>106002</v>
      </c>
      <c r="J23" s="2">
        <f>I23-I22</f>
        <v>6002</v>
      </c>
      <c r="K23" s="6" t="e">
        <f>(J23/#REF!)</f>
        <v>#REF!</v>
      </c>
      <c r="L23" s="7" t="e">
        <f t="shared" ref="L23:L32" si="9">K23+1</f>
        <v>#REF!</v>
      </c>
      <c r="N23">
        <f t="shared" ref="N23:N32" si="10">A23</f>
        <v>2007</v>
      </c>
      <c r="O23" s="2">
        <f>I23*O20</f>
        <v>4770.09</v>
      </c>
      <c r="P23" s="2"/>
      <c r="Q23" s="2"/>
      <c r="R23">
        <f t="shared" si="5"/>
        <v>2007</v>
      </c>
      <c r="S23" s="2">
        <f>B23-($O23*0.6)</f>
        <v>60371.945999999996</v>
      </c>
      <c r="T23" s="2"/>
      <c r="U23" s="2"/>
      <c r="V23" s="2"/>
      <c r="W23" s="2"/>
      <c r="X23" s="2"/>
      <c r="Y23" s="2">
        <f>H23-($O23*0.4)</f>
        <v>40859.964</v>
      </c>
      <c r="Z23" s="2">
        <f t="shared" ref="Z23:Z32" si="11">SUM(S23:Y23)</f>
        <v>101231.91</v>
      </c>
      <c r="AA23" s="2">
        <f>Z23-Z22</f>
        <v>1231.9100000000035</v>
      </c>
      <c r="AB23" s="6">
        <f>(AA23/Z22)</f>
        <v>1.2319100000000034E-2</v>
      </c>
      <c r="AC23" s="7">
        <f t="shared" ref="AC23:AC32" si="12">AB23+1</f>
        <v>1.0123191</v>
      </c>
      <c r="AD23" s="2">
        <f t="shared" ref="AD23:AD32" si="13">Z23-(I23-O23)</f>
        <v>0</v>
      </c>
      <c r="AE23" s="2"/>
      <c r="AG23">
        <f t="shared" ref="AG23:AG32" si="14">A23</f>
        <v>2007</v>
      </c>
      <c r="AH23" s="6">
        <f t="shared" si="7"/>
        <v>0.5963726852530985</v>
      </c>
      <c r="AI23" s="6"/>
      <c r="AJ23" s="6"/>
      <c r="AK23" s="6"/>
      <c r="AL23" s="6"/>
      <c r="AM23" s="6"/>
      <c r="AN23" s="6">
        <f t="shared" si="7"/>
        <v>0.40362731474690144</v>
      </c>
      <c r="AO23" s="20">
        <f>SUM(AH23:AN23)</f>
        <v>1</v>
      </c>
      <c r="AP23" s="7">
        <f>SUM(AH23:AM23)</f>
        <v>0.5963726852530985</v>
      </c>
      <c r="AQ23" s="7">
        <f>AO23-(AP23+AN23)</f>
        <v>0</v>
      </c>
      <c r="AR23" s="22"/>
      <c r="AS23">
        <f t="shared" ref="AS23:AS32" si="15">AG23</f>
        <v>2007</v>
      </c>
      <c r="AT23" s="1" t="b">
        <f>AND((S23/$Z23)&gt;0.55,(S23/$Z23)&lt;0.65)</f>
        <v>1</v>
      </c>
      <c r="AU23" s="1"/>
      <c r="AV23" s="1"/>
      <c r="AW23" s="1"/>
      <c r="AX23" s="1"/>
      <c r="AY23" s="1"/>
      <c r="AZ23" s="1" t="b">
        <f>AND((Y23/$Z23)&gt;0.35,(Y23/$Z23)&lt;0.45)</f>
        <v>1</v>
      </c>
      <c r="BA23" s="1" t="b">
        <f t="shared" ref="BA23:BA32" si="16">AND((Z23/$Z23)&gt;0.999,(Z23/$Z23)&lt;1.01)</f>
        <v>1</v>
      </c>
      <c r="BC23">
        <f t="shared" ref="BC23:BC32" si="17">AS23</f>
        <v>2007</v>
      </c>
      <c r="BD23" s="36">
        <f>BD$22*$Z23</f>
        <v>60739.146000000001</v>
      </c>
      <c r="BE23" s="2"/>
      <c r="BF23" s="58"/>
      <c r="BG23" s="58"/>
      <c r="BH23" s="58"/>
      <c r="BI23" s="58"/>
      <c r="BJ23" s="36">
        <f>BJ$22*$Z23</f>
        <v>40492.764000000003</v>
      </c>
      <c r="BK23" s="2">
        <f t="shared" ref="BK23:BK32" si="18">Z23</f>
        <v>101231.91</v>
      </c>
      <c r="BL23" s="2">
        <f t="shared" ref="BL23:BL32" si="19">SUM(BD23:BJ23)-Z23</f>
        <v>0</v>
      </c>
      <c r="BM23" s="2"/>
    </row>
    <row r="24" spans="1:65" x14ac:dyDescent="0.2">
      <c r="A24">
        <f t="shared" si="8"/>
        <v>2008</v>
      </c>
      <c r="B24" s="2">
        <f t="shared" ref="B24:B34" si="20">BD23*(1+(B5/100))</f>
        <v>38253.514150799994</v>
      </c>
      <c r="C24" s="2"/>
      <c r="D24" s="2"/>
      <c r="E24" s="2"/>
      <c r="F24" s="2"/>
      <c r="G24" s="2"/>
      <c r="H24" s="2">
        <f t="shared" ref="H24:H34" si="21">BJ23*(1+(H5/100))</f>
        <v>42537.648582000002</v>
      </c>
      <c r="I24" s="2">
        <f t="shared" si="6"/>
        <v>80791.162732800003</v>
      </c>
      <c r="J24" s="2">
        <f t="shared" ref="J24:J32" si="22">I24-I23</f>
        <v>-25210.837267199997</v>
      </c>
      <c r="K24" s="6">
        <f t="shared" ref="K24:K32" si="23">(J24/I23)</f>
        <v>-0.23783359999999998</v>
      </c>
      <c r="L24" s="7">
        <f t="shared" si="9"/>
        <v>0.76216640000000002</v>
      </c>
      <c r="N24">
        <f t="shared" si="10"/>
        <v>2008</v>
      </c>
      <c r="O24" s="2">
        <f t="shared" ref="O24:O36" si="24">O23*(1+O5)</f>
        <v>4770.09</v>
      </c>
      <c r="P24" s="2"/>
      <c r="Q24" s="2"/>
      <c r="R24">
        <f t="shared" si="5"/>
        <v>2008</v>
      </c>
      <c r="S24" s="2">
        <f t="shared" ref="S24:S32" si="25">B24-($O24*0.6)</f>
        <v>35391.460150799991</v>
      </c>
      <c r="T24" s="2"/>
      <c r="U24" s="2"/>
      <c r="V24" s="2"/>
      <c r="W24" s="2"/>
      <c r="X24" s="2"/>
      <c r="Y24" s="2">
        <f t="shared" ref="Y24:Y32" si="26">H24-($O24*0.4)</f>
        <v>40629.612582000002</v>
      </c>
      <c r="Z24" s="2">
        <f t="shared" si="11"/>
        <v>76021.072732799992</v>
      </c>
      <c r="AA24" s="2">
        <f t="shared" ref="AA24:AA32" si="27">Z24-Z23</f>
        <v>-25210.837267200011</v>
      </c>
      <c r="AB24" s="6">
        <f t="shared" ref="AB24:AB32" si="28">(AA24/Z23)</f>
        <v>-0.24904041884816763</v>
      </c>
      <c r="AC24" s="7">
        <f t="shared" si="12"/>
        <v>0.75095958115183237</v>
      </c>
      <c r="AD24" s="2">
        <f t="shared" si="13"/>
        <v>0</v>
      </c>
      <c r="AE24" s="2"/>
      <c r="AG24">
        <f t="shared" si="14"/>
        <v>2008</v>
      </c>
      <c r="AH24" s="6">
        <f t="shared" si="7"/>
        <v>0.46554802344337376</v>
      </c>
      <c r="AI24" s="6"/>
      <c r="AJ24" s="6"/>
      <c r="AK24" s="6"/>
      <c r="AL24" s="6"/>
      <c r="AM24" s="6"/>
      <c r="AN24" s="6">
        <f t="shared" si="7"/>
        <v>0.53445197655662624</v>
      </c>
      <c r="AO24" s="20">
        <f t="shared" ref="AO24:AO27" si="29">SUM(AH24:AN24)</f>
        <v>1</v>
      </c>
      <c r="AP24" s="7">
        <f t="shared" ref="AP24:AP34" si="30">SUM(AH24:AM24)</f>
        <v>0.46554802344337376</v>
      </c>
      <c r="AQ24" s="7">
        <f t="shared" ref="AQ24:AQ34" si="31">AO24-(AP24+AN24)</f>
        <v>0</v>
      </c>
      <c r="AR24" s="22"/>
      <c r="AS24">
        <f t="shared" si="15"/>
        <v>2008</v>
      </c>
      <c r="AT24" s="1" t="b">
        <f t="shared" ref="AT24:AT32" si="32">AND((S24/$Z24)&gt;0.55,(S24/$Z24)&lt;0.65)</f>
        <v>0</v>
      </c>
      <c r="AU24" s="1"/>
      <c r="AV24" s="1"/>
      <c r="AW24" s="1"/>
      <c r="AX24" s="1"/>
      <c r="AY24" s="1"/>
      <c r="AZ24" s="1" t="b">
        <f t="shared" ref="AZ24:AZ32" si="33">AND((Y24/$Z24)&gt;0.35,(Y24/$Z24)&lt;0.45)</f>
        <v>0</v>
      </c>
      <c r="BA24" s="1" t="b">
        <f t="shared" si="16"/>
        <v>1</v>
      </c>
      <c r="BC24">
        <f t="shared" si="17"/>
        <v>2008</v>
      </c>
      <c r="BD24" s="36">
        <f t="shared" ref="BD24:BD36" si="34">BD$22*$Z24</f>
        <v>45612.643639679991</v>
      </c>
      <c r="BE24" s="2"/>
      <c r="BF24" s="58"/>
      <c r="BG24" s="58"/>
      <c r="BH24" s="58"/>
      <c r="BI24" s="58"/>
      <c r="BJ24" s="36">
        <f t="shared" ref="BJ24:BJ36" si="35">BJ$22*$Z24</f>
        <v>30408.429093119998</v>
      </c>
      <c r="BK24" s="2">
        <f t="shared" si="18"/>
        <v>76021.072732799992</v>
      </c>
      <c r="BL24" s="2">
        <f t="shared" si="19"/>
        <v>0</v>
      </c>
      <c r="BM24" s="2"/>
    </row>
    <row r="25" spans="1:65" x14ac:dyDescent="0.2">
      <c r="A25">
        <f t="shared" si="8"/>
        <v>2009</v>
      </c>
      <c r="B25" s="2">
        <f t="shared" si="20"/>
        <v>57695.432939831218</v>
      </c>
      <c r="C25" s="2"/>
      <c r="D25" s="2"/>
      <c r="E25" s="2"/>
      <c r="F25" s="2"/>
      <c r="G25" s="2"/>
      <c r="H25" s="2">
        <f t="shared" si="21"/>
        <v>32211.648938342012</v>
      </c>
      <c r="I25" s="2">
        <f t="shared" si="6"/>
        <v>89907.081878173223</v>
      </c>
      <c r="J25" s="2">
        <f t="shared" si="22"/>
        <v>9115.9191453732201</v>
      </c>
      <c r="K25" s="6">
        <f t="shared" si="23"/>
        <v>0.1128331222998019</v>
      </c>
      <c r="L25" s="7">
        <f t="shared" si="9"/>
        <v>1.1128331222998018</v>
      </c>
      <c r="N25">
        <f t="shared" si="10"/>
        <v>2009</v>
      </c>
      <c r="O25" s="2">
        <f t="shared" si="24"/>
        <v>4903.6525200000005</v>
      </c>
      <c r="P25" s="2"/>
      <c r="Q25" s="2"/>
      <c r="R25">
        <f t="shared" si="5"/>
        <v>2009</v>
      </c>
      <c r="S25" s="2">
        <f t="shared" si="25"/>
        <v>54753.241427831221</v>
      </c>
      <c r="T25" s="2"/>
      <c r="U25" s="2"/>
      <c r="V25" s="2"/>
      <c r="W25" s="2"/>
      <c r="X25" s="2"/>
      <c r="Y25" s="2">
        <f t="shared" si="26"/>
        <v>30250.187930342014</v>
      </c>
      <c r="Z25" s="2">
        <f t="shared" si="11"/>
        <v>85003.429358173235</v>
      </c>
      <c r="AA25" s="2">
        <f t="shared" si="27"/>
        <v>8982.3566253732424</v>
      </c>
      <c r="AB25" s="6">
        <f t="shared" si="28"/>
        <v>0.11815614148125171</v>
      </c>
      <c r="AC25" s="7">
        <f t="shared" si="12"/>
        <v>1.1181561414812518</v>
      </c>
      <c r="AD25" s="2">
        <f t="shared" si="13"/>
        <v>0</v>
      </c>
      <c r="AE25" s="2"/>
      <c r="AG25">
        <f t="shared" si="14"/>
        <v>2009</v>
      </c>
      <c r="AH25" s="6">
        <f t="shared" si="7"/>
        <v>0.64412979383597768</v>
      </c>
      <c r="AI25" s="6"/>
      <c r="AJ25" s="6"/>
      <c r="AK25" s="6"/>
      <c r="AL25" s="6"/>
      <c r="AM25" s="6"/>
      <c r="AN25" s="6">
        <f t="shared" si="7"/>
        <v>0.35587020616402226</v>
      </c>
      <c r="AO25" s="20">
        <f t="shared" si="29"/>
        <v>1</v>
      </c>
      <c r="AP25" s="7">
        <f t="shared" si="30"/>
        <v>0.64412979383597768</v>
      </c>
      <c r="AQ25" s="7">
        <f t="shared" si="31"/>
        <v>0</v>
      </c>
      <c r="AR25" s="22"/>
      <c r="AS25">
        <f t="shared" si="15"/>
        <v>2009</v>
      </c>
      <c r="AT25" s="1" t="b">
        <f t="shared" si="32"/>
        <v>1</v>
      </c>
      <c r="AU25" s="1"/>
      <c r="AV25" s="1"/>
      <c r="AW25" s="1"/>
      <c r="AX25" s="1"/>
      <c r="AY25" s="1"/>
      <c r="AZ25" s="1" t="b">
        <f t="shared" si="33"/>
        <v>1</v>
      </c>
      <c r="BA25" s="1" t="b">
        <f t="shared" si="16"/>
        <v>1</v>
      </c>
      <c r="BC25">
        <f t="shared" si="17"/>
        <v>2009</v>
      </c>
      <c r="BD25" s="36">
        <f t="shared" si="34"/>
        <v>51002.057614903941</v>
      </c>
      <c r="BE25" s="2"/>
      <c r="BF25" s="58"/>
      <c r="BG25" s="58"/>
      <c r="BH25" s="58"/>
      <c r="BI25" s="58"/>
      <c r="BJ25" s="36">
        <f t="shared" si="35"/>
        <v>34001.371743269294</v>
      </c>
      <c r="BK25" s="2">
        <f t="shared" si="18"/>
        <v>85003.429358173235</v>
      </c>
      <c r="BL25" s="2">
        <f t="shared" si="19"/>
        <v>0</v>
      </c>
      <c r="BM25" s="2"/>
    </row>
    <row r="26" spans="1:65" x14ac:dyDescent="0.2">
      <c r="A26">
        <f t="shared" si="8"/>
        <v>2010</v>
      </c>
      <c r="B26" s="2">
        <f t="shared" si="20"/>
        <v>58606.464405286119</v>
      </c>
      <c r="C26" s="2"/>
      <c r="D26" s="2"/>
      <c r="E26" s="2"/>
      <c r="F26" s="2"/>
      <c r="G26" s="2"/>
      <c r="H26" s="2">
        <f t="shared" si="21"/>
        <v>36184.259809187184</v>
      </c>
      <c r="I26" s="2">
        <f t="shared" si="6"/>
        <v>94790.724214473303</v>
      </c>
      <c r="J26" s="2">
        <f t="shared" si="22"/>
        <v>4883.6423363000795</v>
      </c>
      <c r="K26" s="6">
        <f t="shared" si="23"/>
        <v>5.4318772607007314E-2</v>
      </c>
      <c r="L26" s="7">
        <f t="shared" si="9"/>
        <v>1.0543187726070073</v>
      </c>
      <c r="N26">
        <f t="shared" si="10"/>
        <v>2010</v>
      </c>
      <c r="O26" s="2">
        <f t="shared" si="24"/>
        <v>4972.3036552800004</v>
      </c>
      <c r="P26" s="2"/>
      <c r="Q26" s="2"/>
      <c r="R26">
        <f t="shared" si="5"/>
        <v>2010</v>
      </c>
      <c r="S26" s="2">
        <f t="shared" si="25"/>
        <v>55623.082212118119</v>
      </c>
      <c r="T26" s="2"/>
      <c r="U26" s="2"/>
      <c r="V26" s="2"/>
      <c r="W26" s="2"/>
      <c r="X26" s="2"/>
      <c r="Y26" s="2">
        <f t="shared" si="26"/>
        <v>34195.338347075187</v>
      </c>
      <c r="Z26" s="2">
        <f t="shared" si="11"/>
        <v>89818.420559193299</v>
      </c>
      <c r="AA26" s="2">
        <f t="shared" si="27"/>
        <v>4814.9912010200642</v>
      </c>
      <c r="AB26" s="6">
        <f t="shared" si="28"/>
        <v>5.664466995480217E-2</v>
      </c>
      <c r="AC26" s="7">
        <f t="shared" si="12"/>
        <v>1.0566446699548022</v>
      </c>
      <c r="AD26" s="2">
        <f t="shared" si="13"/>
        <v>0</v>
      </c>
      <c r="AE26" s="2"/>
      <c r="AG26">
        <f t="shared" si="14"/>
        <v>2010</v>
      </c>
      <c r="AH26" s="6">
        <f t="shared" si="7"/>
        <v>0.61928368218700391</v>
      </c>
      <c r="AI26" s="6"/>
      <c r="AJ26" s="6"/>
      <c r="AK26" s="6"/>
      <c r="AL26" s="6"/>
      <c r="AM26" s="6"/>
      <c r="AN26" s="6">
        <f t="shared" si="7"/>
        <v>0.3807163178129962</v>
      </c>
      <c r="AO26" s="20">
        <f t="shared" si="29"/>
        <v>1</v>
      </c>
      <c r="AP26" s="7">
        <f t="shared" si="30"/>
        <v>0.61928368218700391</v>
      </c>
      <c r="AQ26" s="7">
        <f t="shared" si="31"/>
        <v>0</v>
      </c>
      <c r="AR26" s="22"/>
      <c r="AS26">
        <f t="shared" si="15"/>
        <v>2010</v>
      </c>
      <c r="AT26" s="1" t="b">
        <f t="shared" si="32"/>
        <v>1</v>
      </c>
      <c r="AU26" s="1"/>
      <c r="AV26" s="1"/>
      <c r="AW26" s="1"/>
      <c r="AX26" s="1"/>
      <c r="AY26" s="1"/>
      <c r="AZ26" s="1" t="b">
        <f t="shared" si="33"/>
        <v>1</v>
      </c>
      <c r="BA26" s="1" t="b">
        <f t="shared" si="16"/>
        <v>1</v>
      </c>
      <c r="BC26">
        <f t="shared" si="17"/>
        <v>2010</v>
      </c>
      <c r="BD26" s="36">
        <f t="shared" si="34"/>
        <v>53891.052335515975</v>
      </c>
      <c r="BE26" s="2"/>
      <c r="BF26" s="58"/>
      <c r="BG26" s="58"/>
      <c r="BH26" s="58"/>
      <c r="BI26" s="58"/>
      <c r="BJ26" s="36">
        <f t="shared" si="35"/>
        <v>35927.368223677324</v>
      </c>
      <c r="BK26" s="2">
        <f t="shared" si="18"/>
        <v>89818.420559193299</v>
      </c>
      <c r="BL26" s="2">
        <f t="shared" si="19"/>
        <v>0</v>
      </c>
      <c r="BM26" s="2"/>
    </row>
    <row r="27" spans="1:65" x14ac:dyDescent="0.2">
      <c r="A27">
        <f t="shared" si="8"/>
        <v>2011</v>
      </c>
      <c r="B27" s="2">
        <f t="shared" si="20"/>
        <v>54952.706066525643</v>
      </c>
      <c r="C27" s="2"/>
      <c r="D27" s="2"/>
      <c r="E27" s="2"/>
      <c r="F27" s="2"/>
      <c r="G27" s="2"/>
      <c r="H27" s="2">
        <f t="shared" si="21"/>
        <v>38643.477261387336</v>
      </c>
      <c r="I27" s="2">
        <f t="shared" si="6"/>
        <v>93596.183327912979</v>
      </c>
      <c r="J27" s="2">
        <f t="shared" si="22"/>
        <v>-1194.540886560324</v>
      </c>
      <c r="K27" s="6">
        <f t="shared" si="23"/>
        <v>-1.2601875304355289E-2</v>
      </c>
      <c r="L27" s="7">
        <f t="shared" si="9"/>
        <v>0.9873981246956447</v>
      </c>
      <c r="N27">
        <f t="shared" si="10"/>
        <v>2011</v>
      </c>
      <c r="O27" s="2">
        <f t="shared" si="24"/>
        <v>5121.4727649384004</v>
      </c>
      <c r="P27" s="2"/>
      <c r="Q27" s="2"/>
      <c r="R27">
        <f t="shared" si="5"/>
        <v>2011</v>
      </c>
      <c r="S27" s="2">
        <f t="shared" si="25"/>
        <v>51879.822407562606</v>
      </c>
      <c r="T27" s="2"/>
      <c r="U27" s="2"/>
      <c r="V27" s="2"/>
      <c r="W27" s="2"/>
      <c r="X27" s="2"/>
      <c r="Y27" s="2">
        <f t="shared" si="26"/>
        <v>36594.888155411973</v>
      </c>
      <c r="Z27" s="2">
        <f t="shared" si="11"/>
        <v>88474.710562974578</v>
      </c>
      <c r="AA27" s="2">
        <f t="shared" si="27"/>
        <v>-1343.7099962187203</v>
      </c>
      <c r="AB27" s="6">
        <f t="shared" si="28"/>
        <v>-1.4960294200822326E-2</v>
      </c>
      <c r="AC27" s="7">
        <f t="shared" si="12"/>
        <v>0.98503970579917766</v>
      </c>
      <c r="AD27" s="2">
        <f t="shared" si="13"/>
        <v>0</v>
      </c>
      <c r="AE27" s="2"/>
      <c r="AG27">
        <f t="shared" si="14"/>
        <v>2011</v>
      </c>
      <c r="AH27" s="6">
        <f t="shared" si="7"/>
        <v>0.58638024445002912</v>
      </c>
      <c r="AI27" s="6"/>
      <c r="AJ27" s="6"/>
      <c r="AK27" s="6"/>
      <c r="AL27" s="7"/>
      <c r="AM27" s="6"/>
      <c r="AN27" s="6">
        <f t="shared" si="7"/>
        <v>0.41361975554997088</v>
      </c>
      <c r="AO27" s="20">
        <f t="shared" si="29"/>
        <v>1</v>
      </c>
      <c r="AP27" s="7">
        <f t="shared" si="30"/>
        <v>0.58638024445002912</v>
      </c>
      <c r="AQ27" s="7">
        <f t="shared" si="31"/>
        <v>0</v>
      </c>
      <c r="AR27" s="22"/>
      <c r="AS27">
        <f t="shared" si="15"/>
        <v>2011</v>
      </c>
      <c r="AT27" s="1" t="b">
        <f t="shared" si="32"/>
        <v>1</v>
      </c>
      <c r="AU27" s="1"/>
      <c r="AV27" s="1"/>
      <c r="AW27" s="1"/>
      <c r="AX27" s="1"/>
      <c r="AY27" s="1"/>
      <c r="AZ27" s="1" t="b">
        <f t="shared" si="33"/>
        <v>1</v>
      </c>
      <c r="BA27" s="1" t="b">
        <f t="shared" si="16"/>
        <v>1</v>
      </c>
      <c r="BC27">
        <f t="shared" si="17"/>
        <v>2011</v>
      </c>
      <c r="BD27" s="36">
        <f t="shared" si="34"/>
        <v>53084.826337784747</v>
      </c>
      <c r="BE27" s="2"/>
      <c r="BF27" s="58"/>
      <c r="BG27" s="58"/>
      <c r="BH27" s="58"/>
      <c r="BI27" s="58"/>
      <c r="BJ27" s="36">
        <f t="shared" si="35"/>
        <v>35389.884225189831</v>
      </c>
      <c r="BK27" s="2">
        <f t="shared" si="18"/>
        <v>88474.710562974578</v>
      </c>
      <c r="BL27" s="2">
        <f t="shared" si="19"/>
        <v>0</v>
      </c>
      <c r="BM27" s="2"/>
    </row>
    <row r="28" spans="1:65" x14ac:dyDescent="0.2">
      <c r="A28">
        <f t="shared" si="8"/>
        <v>2012</v>
      </c>
      <c r="B28" s="2">
        <f t="shared" si="20"/>
        <v>61482.845864422292</v>
      </c>
      <c r="C28" s="2"/>
      <c r="D28" s="2"/>
      <c r="E28" s="2"/>
      <c r="F28" s="2"/>
      <c r="G28" s="2"/>
      <c r="H28" s="2">
        <f t="shared" si="21"/>
        <v>36823.17453631002</v>
      </c>
      <c r="I28" s="2">
        <f t="shared" si="6"/>
        <v>98306.020400732319</v>
      </c>
      <c r="J28" s="2">
        <f t="shared" si="22"/>
        <v>4709.8370728193404</v>
      </c>
      <c r="K28" s="6">
        <f t="shared" si="23"/>
        <v>5.0320824048118384E-2</v>
      </c>
      <c r="L28" s="7">
        <f t="shared" si="9"/>
        <v>1.0503208240481183</v>
      </c>
      <c r="N28">
        <f t="shared" si="10"/>
        <v>2012</v>
      </c>
      <c r="O28" s="2">
        <f t="shared" si="24"/>
        <v>5213.6592747072918</v>
      </c>
      <c r="P28" s="2"/>
      <c r="Q28" s="2"/>
      <c r="R28">
        <f t="shared" si="5"/>
        <v>2012</v>
      </c>
      <c r="S28" s="2">
        <f t="shared" si="25"/>
        <v>58354.650299597917</v>
      </c>
      <c r="T28" s="2"/>
      <c r="U28" s="2"/>
      <c r="V28" s="2"/>
      <c r="W28" s="2"/>
      <c r="X28" s="2"/>
      <c r="Y28" s="2">
        <f t="shared" si="26"/>
        <v>34737.710826427101</v>
      </c>
      <c r="Z28" s="2">
        <f t="shared" si="11"/>
        <v>93092.361126025018</v>
      </c>
      <c r="AA28" s="2">
        <f t="shared" si="27"/>
        <v>4617.6505630504398</v>
      </c>
      <c r="AB28" s="6">
        <f t="shared" si="28"/>
        <v>5.2191756646253008E-2</v>
      </c>
      <c r="AC28" s="7">
        <f t="shared" si="12"/>
        <v>1.0521917566462531</v>
      </c>
      <c r="AD28" s="2">
        <f t="shared" si="13"/>
        <v>0</v>
      </c>
      <c r="AE28" s="2"/>
      <c r="AG28">
        <f t="shared" si="14"/>
        <v>2012</v>
      </c>
      <c r="AH28" s="6">
        <f t="shared" si="7"/>
        <v>0.62684681743757187</v>
      </c>
      <c r="AI28" s="6"/>
      <c r="AJ28" s="6"/>
      <c r="AK28" s="6"/>
      <c r="AL28" s="7"/>
      <c r="AM28" s="6"/>
      <c r="AN28" s="6">
        <f t="shared" si="7"/>
        <v>0.37315318256242813</v>
      </c>
      <c r="AO28" s="20">
        <f t="shared" ref="AO28:AO32" si="36">SUM(AH28:AN28)</f>
        <v>1</v>
      </c>
      <c r="AP28" s="7">
        <f t="shared" si="30"/>
        <v>0.62684681743757187</v>
      </c>
      <c r="AQ28" s="7">
        <f t="shared" si="31"/>
        <v>0</v>
      </c>
      <c r="AR28" s="22"/>
      <c r="AS28">
        <f t="shared" si="15"/>
        <v>2012</v>
      </c>
      <c r="AT28" s="1" t="b">
        <f t="shared" si="32"/>
        <v>1</v>
      </c>
      <c r="AU28" s="1"/>
      <c r="AV28" s="1"/>
      <c r="AW28" s="1"/>
      <c r="AX28" s="1"/>
      <c r="AY28" s="1"/>
      <c r="AZ28" s="1" t="b">
        <f t="shared" si="33"/>
        <v>1</v>
      </c>
      <c r="BA28" s="1" t="b">
        <f t="shared" si="16"/>
        <v>1</v>
      </c>
      <c r="BC28">
        <f t="shared" si="17"/>
        <v>2012</v>
      </c>
      <c r="BD28" s="36">
        <f t="shared" si="34"/>
        <v>55855.416675615008</v>
      </c>
      <c r="BE28" s="2"/>
      <c r="BF28" s="58"/>
      <c r="BG28" s="58"/>
      <c r="BH28" s="58"/>
      <c r="BI28" s="58"/>
      <c r="BJ28" s="36">
        <f t="shared" si="35"/>
        <v>37236.94445041001</v>
      </c>
      <c r="BK28" s="2">
        <f t="shared" si="18"/>
        <v>93092.361126025018</v>
      </c>
      <c r="BL28" s="2">
        <f t="shared" si="19"/>
        <v>0</v>
      </c>
      <c r="BM28" s="2"/>
    </row>
    <row r="29" spans="1:65" x14ac:dyDescent="0.2">
      <c r="A29">
        <f t="shared" si="8"/>
        <v>2013</v>
      </c>
      <c r="B29" s="2">
        <f t="shared" si="20"/>
        <v>73829.689761827918</v>
      </c>
      <c r="C29" s="2"/>
      <c r="D29" s="2"/>
      <c r="E29" s="2"/>
      <c r="F29" s="2"/>
      <c r="G29" s="2"/>
      <c r="H29" s="2">
        <f t="shared" si="21"/>
        <v>36395.389505830746</v>
      </c>
      <c r="I29" s="2">
        <f t="shared" ref="I29:I30" si="37">SUM(B29:H29)</f>
        <v>110225.07926765867</v>
      </c>
      <c r="J29" s="2">
        <f t="shared" si="22"/>
        <v>11919.058866926352</v>
      </c>
      <c r="K29" s="6">
        <f t="shared" si="23"/>
        <v>0.12124444482992786</v>
      </c>
      <c r="L29" s="7">
        <f t="shared" si="9"/>
        <v>1.1212444448299279</v>
      </c>
      <c r="N29">
        <f t="shared" si="10"/>
        <v>2013</v>
      </c>
      <c r="O29" s="2">
        <f t="shared" si="24"/>
        <v>5273.907888831136</v>
      </c>
      <c r="P29" s="2"/>
      <c r="Q29" s="2"/>
      <c r="R29">
        <f t="shared" si="5"/>
        <v>2013</v>
      </c>
      <c r="S29" s="2">
        <f t="shared" si="25"/>
        <v>70665.345028529235</v>
      </c>
      <c r="T29" s="2"/>
      <c r="U29" s="2"/>
      <c r="V29" s="2"/>
      <c r="W29" s="2"/>
      <c r="X29" s="2"/>
      <c r="Y29" s="2">
        <f t="shared" si="26"/>
        <v>34285.826350298288</v>
      </c>
      <c r="Z29" s="2">
        <f t="shared" si="11"/>
        <v>104951.17137882752</v>
      </c>
      <c r="AA29" s="2">
        <f t="shared" si="27"/>
        <v>11858.810252802505</v>
      </c>
      <c r="AB29" s="6">
        <f t="shared" si="28"/>
        <v>0.12738757626684841</v>
      </c>
      <c r="AC29" s="7">
        <f t="shared" si="12"/>
        <v>1.1273875762668484</v>
      </c>
      <c r="AD29" s="2">
        <f t="shared" si="13"/>
        <v>0</v>
      </c>
      <c r="AE29" s="2"/>
      <c r="AG29">
        <f t="shared" si="14"/>
        <v>2013</v>
      </c>
      <c r="AH29" s="6">
        <f t="shared" si="7"/>
        <v>0.67331640133351589</v>
      </c>
      <c r="AI29" s="6"/>
      <c r="AJ29" s="6"/>
      <c r="AK29" s="6"/>
      <c r="AL29" s="7"/>
      <c r="AM29" s="6"/>
      <c r="AN29" s="6">
        <f t="shared" si="7"/>
        <v>0.32668359866648417</v>
      </c>
      <c r="AO29" s="20">
        <f t="shared" si="36"/>
        <v>1</v>
      </c>
      <c r="AP29" s="7">
        <f t="shared" si="30"/>
        <v>0.67331640133351589</v>
      </c>
      <c r="AQ29" s="7">
        <f t="shared" si="31"/>
        <v>0</v>
      </c>
      <c r="AR29" s="22"/>
      <c r="AS29">
        <f t="shared" si="15"/>
        <v>2013</v>
      </c>
      <c r="AT29" s="1" t="b">
        <f t="shared" si="32"/>
        <v>0</v>
      </c>
      <c r="AU29" s="1"/>
      <c r="AV29" s="1"/>
      <c r="AW29" s="1"/>
      <c r="AX29" s="1"/>
      <c r="AY29" s="1"/>
      <c r="AZ29" s="1" t="b">
        <f t="shared" si="33"/>
        <v>0</v>
      </c>
      <c r="BA29" s="1" t="b">
        <f t="shared" si="16"/>
        <v>1</v>
      </c>
      <c r="BC29">
        <f t="shared" si="17"/>
        <v>2013</v>
      </c>
      <c r="BD29" s="36">
        <f t="shared" si="34"/>
        <v>62970.702827296511</v>
      </c>
      <c r="BE29" s="2"/>
      <c r="BF29" s="58"/>
      <c r="BG29" s="58"/>
      <c r="BH29" s="58"/>
      <c r="BI29" s="58"/>
      <c r="BJ29" s="36">
        <f t="shared" si="35"/>
        <v>41980.468551531012</v>
      </c>
      <c r="BK29" s="2">
        <f t="shared" si="18"/>
        <v>104951.17137882752</v>
      </c>
      <c r="BL29" s="2">
        <f t="shared" si="19"/>
        <v>0</v>
      </c>
      <c r="BM29" s="2"/>
    </row>
    <row r="30" spans="1:65" x14ac:dyDescent="0.2">
      <c r="A30">
        <f t="shared" si="8"/>
        <v>2014</v>
      </c>
      <c r="B30" s="2">
        <f t="shared" si="20"/>
        <v>71478.044779264266</v>
      </c>
      <c r="C30" s="2"/>
      <c r="D30" s="2"/>
      <c r="E30" s="2"/>
      <c r="F30" s="2"/>
      <c r="G30" s="2"/>
      <c r="H30" s="2">
        <f t="shared" si="21"/>
        <v>44398.543540099199</v>
      </c>
      <c r="I30" s="2">
        <f t="shared" si="37"/>
        <v>115876.58831936347</v>
      </c>
      <c r="J30" s="2">
        <f t="shared" si="22"/>
        <v>5651.5090517047938</v>
      </c>
      <c r="K30" s="6">
        <f t="shared" si="23"/>
        <v>5.1272442616995359E-2</v>
      </c>
      <c r="L30" s="7">
        <f t="shared" si="9"/>
        <v>1.0512724426169953</v>
      </c>
      <c r="N30">
        <f t="shared" si="10"/>
        <v>2014</v>
      </c>
      <c r="O30" s="2">
        <f t="shared" si="24"/>
        <v>5341.9413005970573</v>
      </c>
      <c r="P30" s="2"/>
      <c r="Q30" s="2"/>
      <c r="R30">
        <f t="shared" si="5"/>
        <v>2014</v>
      </c>
      <c r="S30" s="2">
        <f t="shared" si="25"/>
        <v>68272.879998906035</v>
      </c>
      <c r="T30" s="2"/>
      <c r="U30" s="2"/>
      <c r="V30" s="2"/>
      <c r="W30" s="2"/>
      <c r="X30" s="2"/>
      <c r="Y30" s="2">
        <f t="shared" si="26"/>
        <v>42261.767019860374</v>
      </c>
      <c r="Z30" s="2">
        <f t="shared" si="11"/>
        <v>110534.64701876641</v>
      </c>
      <c r="AA30" s="2">
        <f t="shared" si="27"/>
        <v>5583.4756399388862</v>
      </c>
      <c r="AB30" s="6">
        <f t="shared" si="28"/>
        <v>5.3200698635225301E-2</v>
      </c>
      <c r="AC30" s="7">
        <f t="shared" si="12"/>
        <v>1.0532006986352254</v>
      </c>
      <c r="AD30" s="2">
        <f t="shared" si="13"/>
        <v>0</v>
      </c>
      <c r="AE30" s="2"/>
      <c r="AG30">
        <f t="shared" si="14"/>
        <v>2014</v>
      </c>
      <c r="AH30" s="6">
        <f t="shared" si="7"/>
        <v>0.6176604516348142</v>
      </c>
      <c r="AI30" s="6"/>
      <c r="AJ30" s="6"/>
      <c r="AK30" s="6"/>
      <c r="AL30" s="7"/>
      <c r="AM30" s="6"/>
      <c r="AN30" s="6">
        <f t="shared" si="7"/>
        <v>0.38233954836518574</v>
      </c>
      <c r="AO30" s="20">
        <f t="shared" si="36"/>
        <v>1</v>
      </c>
      <c r="AP30" s="7">
        <f t="shared" si="30"/>
        <v>0.6176604516348142</v>
      </c>
      <c r="AQ30" s="7">
        <f t="shared" si="31"/>
        <v>0</v>
      </c>
      <c r="AR30" s="22"/>
      <c r="AS30">
        <f t="shared" si="15"/>
        <v>2014</v>
      </c>
      <c r="AT30" s="1" t="b">
        <f t="shared" si="32"/>
        <v>1</v>
      </c>
      <c r="AU30" s="1"/>
      <c r="AV30" s="1"/>
      <c r="AW30" s="1"/>
      <c r="AX30" s="1"/>
      <c r="AY30" s="1"/>
      <c r="AZ30" s="1" t="b">
        <f t="shared" si="33"/>
        <v>1</v>
      </c>
      <c r="BA30" s="1" t="b">
        <f t="shared" si="16"/>
        <v>1</v>
      </c>
      <c r="BC30">
        <f t="shared" si="17"/>
        <v>2014</v>
      </c>
      <c r="BD30" s="36">
        <f t="shared" si="34"/>
        <v>66320.788211259845</v>
      </c>
      <c r="BE30" s="2"/>
      <c r="BF30" s="58"/>
      <c r="BG30" s="58"/>
      <c r="BH30" s="58"/>
      <c r="BI30" s="58"/>
      <c r="BJ30" s="36">
        <f t="shared" si="35"/>
        <v>44213.858807506564</v>
      </c>
      <c r="BK30" s="2">
        <f t="shared" si="18"/>
        <v>110534.64701876641</v>
      </c>
      <c r="BL30" s="2">
        <f t="shared" si="19"/>
        <v>0</v>
      </c>
      <c r="BM30" s="2"/>
    </row>
    <row r="31" spans="1:65" x14ac:dyDescent="0.2">
      <c r="A31">
        <f t="shared" si="8"/>
        <v>2015</v>
      </c>
      <c r="B31" s="2">
        <f t="shared" si="20"/>
        <v>67149.798063900584</v>
      </c>
      <c r="C31" s="2"/>
      <c r="D31" s="2"/>
      <c r="E31" s="2"/>
      <c r="F31" s="2"/>
      <c r="G31" s="2"/>
      <c r="H31" s="2">
        <f t="shared" si="21"/>
        <v>44346.50038392908</v>
      </c>
      <c r="I31" s="2">
        <f t="shared" ref="I31:I32" si="38">SUM(B31:H31)</f>
        <v>111496.29844782967</v>
      </c>
      <c r="J31" s="2">
        <f t="shared" si="22"/>
        <v>-4380.2898715337942</v>
      </c>
      <c r="K31" s="6">
        <f t="shared" si="23"/>
        <v>-3.7801336189338168E-2</v>
      </c>
      <c r="L31" s="7">
        <f t="shared" si="9"/>
        <v>0.96219866381066188</v>
      </c>
      <c r="N31">
        <f t="shared" si="10"/>
        <v>2015</v>
      </c>
      <c r="O31" s="2">
        <f t="shared" si="24"/>
        <v>5365.4458423196838</v>
      </c>
      <c r="P31" s="2"/>
      <c r="Q31" s="2"/>
      <c r="R31">
        <f t="shared" si="5"/>
        <v>2015</v>
      </c>
      <c r="S31" s="2">
        <f t="shared" si="25"/>
        <v>63930.530558508777</v>
      </c>
      <c r="T31" s="2"/>
      <c r="U31" s="2"/>
      <c r="V31" s="2"/>
      <c r="W31" s="2"/>
      <c r="X31" s="2"/>
      <c r="Y31" s="2">
        <f t="shared" si="26"/>
        <v>42200.322047001209</v>
      </c>
      <c r="Z31" s="2">
        <f t="shared" si="11"/>
        <v>106130.85260550998</v>
      </c>
      <c r="AA31" s="2">
        <f t="shared" si="27"/>
        <v>-4403.7944132564298</v>
      </c>
      <c r="AB31" s="6">
        <f t="shared" si="28"/>
        <v>-3.984085109991585E-2</v>
      </c>
      <c r="AC31" s="7">
        <f t="shared" si="12"/>
        <v>0.96015914890008414</v>
      </c>
      <c r="AD31" s="2">
        <f t="shared" si="13"/>
        <v>0</v>
      </c>
      <c r="AE31" s="2"/>
      <c r="AG31">
        <f t="shared" si="14"/>
        <v>2015</v>
      </c>
      <c r="AH31" s="6">
        <f t="shared" si="7"/>
        <v>0.60237460633751383</v>
      </c>
      <c r="AI31" s="6"/>
      <c r="AJ31" s="6"/>
      <c r="AK31" s="6"/>
      <c r="AL31" s="7"/>
      <c r="AM31" s="6"/>
      <c r="AN31" s="6">
        <f t="shared" si="7"/>
        <v>0.39762539366248623</v>
      </c>
      <c r="AO31" s="20">
        <f t="shared" si="36"/>
        <v>1</v>
      </c>
      <c r="AP31" s="7">
        <f t="shared" si="30"/>
        <v>0.60237460633751383</v>
      </c>
      <c r="AQ31" s="7">
        <f t="shared" si="31"/>
        <v>0</v>
      </c>
      <c r="AR31" s="22"/>
      <c r="AS31">
        <f t="shared" si="15"/>
        <v>2015</v>
      </c>
      <c r="AT31" s="1" t="b">
        <f t="shared" si="32"/>
        <v>1</v>
      </c>
      <c r="AU31" s="1"/>
      <c r="AV31" s="1"/>
      <c r="AW31" s="1"/>
      <c r="AX31" s="1"/>
      <c r="AY31" s="1"/>
      <c r="AZ31" s="1" t="b">
        <f t="shared" si="33"/>
        <v>1</v>
      </c>
      <c r="BA31" s="1" t="b">
        <f t="shared" si="16"/>
        <v>1</v>
      </c>
      <c r="BC31">
        <f t="shared" si="17"/>
        <v>2015</v>
      </c>
      <c r="BD31" s="36">
        <f t="shared" si="34"/>
        <v>63678.511563305983</v>
      </c>
      <c r="BE31" s="2"/>
      <c r="BF31" s="58"/>
      <c r="BG31" s="58"/>
      <c r="BH31" s="58"/>
      <c r="BI31" s="58"/>
      <c r="BJ31" s="36">
        <f t="shared" si="35"/>
        <v>42452.341042203996</v>
      </c>
      <c r="BK31" s="2">
        <f t="shared" si="18"/>
        <v>106130.85260550998</v>
      </c>
      <c r="BL31" s="2">
        <f t="shared" si="19"/>
        <v>0</v>
      </c>
      <c r="BM31" s="2"/>
    </row>
    <row r="32" spans="1:65" x14ac:dyDescent="0.2">
      <c r="A32">
        <f t="shared" si="8"/>
        <v>2016</v>
      </c>
      <c r="B32" s="2">
        <f t="shared" si="20"/>
        <v>71205.311630088749</v>
      </c>
      <c r="C32" s="2"/>
      <c r="D32" s="2"/>
      <c r="E32" s="2"/>
      <c r="F32" s="2"/>
      <c r="G32" s="2"/>
      <c r="H32" s="2">
        <f t="shared" si="21"/>
        <v>43513.64956825909</v>
      </c>
      <c r="I32" s="2">
        <f t="shared" si="38"/>
        <v>114718.96119834784</v>
      </c>
      <c r="J32" s="2">
        <f t="shared" si="22"/>
        <v>3222.6627505181677</v>
      </c>
      <c r="K32" s="6">
        <f t="shared" si="23"/>
        <v>2.8903764478119303E-2</v>
      </c>
      <c r="L32" s="7">
        <f t="shared" si="9"/>
        <v>1.0289037644781194</v>
      </c>
      <c r="N32">
        <f t="shared" si="10"/>
        <v>2016</v>
      </c>
      <c r="O32" s="2">
        <f t="shared" si="24"/>
        <v>5456.6584216391184</v>
      </c>
      <c r="P32" s="2"/>
      <c r="Q32" s="2"/>
      <c r="R32">
        <f t="shared" si="5"/>
        <v>2016</v>
      </c>
      <c r="S32" s="2">
        <f t="shared" si="25"/>
        <v>67931.316577105274</v>
      </c>
      <c r="T32" s="2"/>
      <c r="U32" s="2"/>
      <c r="V32" s="2"/>
      <c r="W32" s="2"/>
      <c r="X32" s="2"/>
      <c r="Y32" s="2">
        <f t="shared" si="26"/>
        <v>41330.986199603445</v>
      </c>
      <c r="Z32" s="2">
        <f t="shared" si="11"/>
        <v>109262.30277670872</v>
      </c>
      <c r="AA32" s="2">
        <f t="shared" si="27"/>
        <v>3131.4501711987396</v>
      </c>
      <c r="AB32" s="6">
        <f t="shared" si="28"/>
        <v>2.9505559357356603E-2</v>
      </c>
      <c r="AC32" s="7">
        <f t="shared" si="12"/>
        <v>1.0295055593573565</v>
      </c>
      <c r="AD32" s="2">
        <f t="shared" si="13"/>
        <v>0</v>
      </c>
      <c r="AE32" s="2"/>
      <c r="AG32">
        <f t="shared" si="14"/>
        <v>2016</v>
      </c>
      <c r="AH32" s="6">
        <f t="shared" si="7"/>
        <v>0.6217269346403167</v>
      </c>
      <c r="AI32" s="6"/>
      <c r="AJ32" s="6"/>
      <c r="AK32" s="6"/>
      <c r="AL32" s="7"/>
      <c r="AM32" s="6"/>
      <c r="AN32" s="6">
        <f t="shared" si="7"/>
        <v>0.3782730653596833</v>
      </c>
      <c r="AO32" s="20">
        <f t="shared" si="36"/>
        <v>1</v>
      </c>
      <c r="AP32" s="7">
        <f t="shared" si="30"/>
        <v>0.6217269346403167</v>
      </c>
      <c r="AQ32" s="7">
        <f t="shared" si="31"/>
        <v>0</v>
      </c>
      <c r="AR32" s="22"/>
      <c r="AS32">
        <f t="shared" si="15"/>
        <v>2016</v>
      </c>
      <c r="AT32" s="1" t="b">
        <f t="shared" si="32"/>
        <v>1</v>
      </c>
      <c r="AU32" s="1"/>
      <c r="AV32" s="1"/>
      <c r="AW32" s="1"/>
      <c r="AX32" s="1"/>
      <c r="AY32" s="1"/>
      <c r="AZ32" s="1" t="b">
        <f t="shared" si="33"/>
        <v>1</v>
      </c>
      <c r="BA32" s="1" t="b">
        <f t="shared" si="16"/>
        <v>1</v>
      </c>
      <c r="BC32">
        <f t="shared" si="17"/>
        <v>2016</v>
      </c>
      <c r="BD32" s="36">
        <f t="shared" si="34"/>
        <v>65557.381666025234</v>
      </c>
      <c r="BE32" s="2"/>
      <c r="BF32" s="58"/>
      <c r="BG32" s="58"/>
      <c r="BH32" s="58"/>
      <c r="BI32" s="58"/>
      <c r="BJ32" s="36">
        <f t="shared" si="35"/>
        <v>43704.921110683492</v>
      </c>
      <c r="BK32" s="2">
        <f t="shared" si="18"/>
        <v>109262.30277670872</v>
      </c>
      <c r="BL32" s="2">
        <f t="shared" si="19"/>
        <v>0</v>
      </c>
      <c r="BM32" s="2"/>
    </row>
    <row r="33" spans="1:65" x14ac:dyDescent="0.2">
      <c r="A33">
        <f t="shared" si="8"/>
        <v>2017</v>
      </c>
      <c r="B33" s="2">
        <f t="shared" si="20"/>
        <v>79763.666273052891</v>
      </c>
      <c r="C33" s="2"/>
      <c r="D33" s="2"/>
      <c r="E33" s="2"/>
      <c r="F33" s="2"/>
      <c r="G33" s="2"/>
      <c r="H33" s="2">
        <f t="shared" si="21"/>
        <v>45217.111381113136</v>
      </c>
      <c r="I33" s="2">
        <f t="shared" ref="I33:I34" si="39">SUM(B33:H33)</f>
        <v>124980.77765416603</v>
      </c>
      <c r="J33" s="2">
        <f t="shared" ref="J33:J34" si="40">I33-I32</f>
        <v>10261.816455818189</v>
      </c>
      <c r="K33" s="6">
        <f t="shared" ref="K33:K34" si="41">(J33/I32)</f>
        <v>8.9451790258766553E-2</v>
      </c>
      <c r="L33" s="7">
        <f t="shared" ref="L33:L34" si="42">K33+1</f>
        <v>1.0894517902587666</v>
      </c>
      <c r="N33">
        <f t="shared" ref="N33:N34" si="43">A33</f>
        <v>2017</v>
      </c>
      <c r="O33" s="2">
        <f t="shared" si="24"/>
        <v>5578.3419044416705</v>
      </c>
      <c r="P33" s="2"/>
      <c r="Q33" s="2"/>
      <c r="R33">
        <f t="shared" ref="R33:R34" si="44">A33</f>
        <v>2017</v>
      </c>
      <c r="S33" s="2">
        <f t="shared" ref="S33:S34" si="45">B33-($O33*0.6)</f>
        <v>76416.661130387889</v>
      </c>
      <c r="T33" s="2"/>
      <c r="U33" s="2"/>
      <c r="V33" s="2"/>
      <c r="W33" s="2"/>
      <c r="X33" s="2"/>
      <c r="Y33" s="2">
        <f t="shared" ref="Y33:Y34" si="46">H33-($O33*0.4)</f>
        <v>42985.774619336466</v>
      </c>
      <c r="Z33" s="2">
        <f t="shared" ref="Z33:Z34" si="47">SUM(S33:Y33)</f>
        <v>119402.43574972436</v>
      </c>
      <c r="AA33" s="2">
        <f t="shared" ref="AA33:AA34" si="48">Z33-Z32</f>
        <v>10140.132973015643</v>
      </c>
      <c r="AB33" s="6">
        <f t="shared" ref="AB33:AB34" si="49">(AA33/Z32)</f>
        <v>9.2805411521833678E-2</v>
      </c>
      <c r="AC33" s="7">
        <f t="shared" ref="AC33:AC34" si="50">AB33+1</f>
        <v>1.0928054115218337</v>
      </c>
      <c r="AD33" s="2">
        <f t="shared" ref="AD33:AD34" si="51">Z33-(I33-O33)</f>
        <v>0</v>
      </c>
      <c r="AE33" s="2"/>
      <c r="AG33">
        <f t="shared" ref="AG33:AG34" si="52">A33</f>
        <v>2017</v>
      </c>
      <c r="AH33" s="6">
        <f t="shared" ref="AH33:AH34" si="53">S33/$Z33</f>
        <v>0.63999248131388553</v>
      </c>
      <c r="AI33" s="6"/>
      <c r="AJ33" s="6"/>
      <c r="AK33" s="6"/>
      <c r="AL33" s="7"/>
      <c r="AM33" s="6"/>
      <c r="AN33" s="6">
        <f t="shared" ref="AN33:AN34" si="54">Y33/$Z33</f>
        <v>0.36000751868611436</v>
      </c>
      <c r="AO33" s="20">
        <f t="shared" ref="AO33:AO34" si="55">SUM(AH33:AN33)</f>
        <v>0.99999999999999989</v>
      </c>
      <c r="AP33" s="7">
        <f t="shared" si="30"/>
        <v>0.63999248131388553</v>
      </c>
      <c r="AQ33" s="7">
        <f t="shared" si="31"/>
        <v>0</v>
      </c>
      <c r="AR33" s="22"/>
      <c r="AS33">
        <f t="shared" ref="AS33:AS34" si="56">AG33</f>
        <v>2017</v>
      </c>
      <c r="AT33" s="1" t="b">
        <f t="shared" ref="AT33:AT34" si="57">AND((S33/$Z33)&gt;0.55,(S33/$Z33)&lt;0.65)</f>
        <v>1</v>
      </c>
      <c r="AU33" s="1"/>
      <c r="AV33" s="1"/>
      <c r="AW33" s="1"/>
      <c r="AX33" s="1"/>
      <c r="AY33" s="1"/>
      <c r="AZ33" s="1" t="b">
        <f t="shared" ref="AZ33:AZ34" si="58">AND((Y33/$Z33)&gt;0.35,(Y33/$Z33)&lt;0.45)</f>
        <v>1</v>
      </c>
      <c r="BA33" s="1" t="b">
        <f t="shared" ref="BA33:BA34" si="59">AND((Z33/$Z33)&gt;0.999,(Z33/$Z33)&lt;1.01)</f>
        <v>1</v>
      </c>
      <c r="BC33">
        <f t="shared" ref="BC33:BC34" si="60">AS33</f>
        <v>2017</v>
      </c>
      <c r="BD33" s="36">
        <f t="shared" si="34"/>
        <v>71641.46144983462</v>
      </c>
      <c r="BE33" s="2"/>
      <c r="BF33" s="58"/>
      <c r="BG33" s="58"/>
      <c r="BH33" s="58"/>
      <c r="BI33" s="58"/>
      <c r="BJ33" s="36">
        <f t="shared" si="35"/>
        <v>47760.974299889749</v>
      </c>
      <c r="BK33" s="2">
        <f t="shared" ref="BK33:BK34" si="61">Z33</f>
        <v>119402.43574972436</v>
      </c>
      <c r="BL33" s="2">
        <f t="shared" ref="BL33:BL34" si="62">SUM(BD33:BJ33)-Z33</f>
        <v>0</v>
      </c>
      <c r="BM33" s="2"/>
    </row>
    <row r="34" spans="1:65" x14ac:dyDescent="0.2">
      <c r="A34">
        <f t="shared" si="8"/>
        <v>2018</v>
      </c>
      <c r="B34" s="2">
        <f t="shared" si="20"/>
        <v>68417.595684592059</v>
      </c>
      <c r="C34" s="2"/>
      <c r="D34" s="2"/>
      <c r="E34" s="2"/>
      <c r="F34" s="2"/>
      <c r="G34" s="2"/>
      <c r="H34" s="2">
        <f t="shared" si="21"/>
        <v>47713.213325589859</v>
      </c>
      <c r="I34" s="2">
        <f t="shared" si="39"/>
        <v>116130.80901018193</v>
      </c>
      <c r="J34" s="2">
        <f t="shared" si="40"/>
        <v>-8849.9686439841025</v>
      </c>
      <c r="K34" s="6">
        <f t="shared" si="41"/>
        <v>-7.0810638324501601E-2</v>
      </c>
      <c r="L34" s="7">
        <f t="shared" si="42"/>
        <v>0.92918936167549837</v>
      </c>
      <c r="N34">
        <f t="shared" si="43"/>
        <v>2018</v>
      </c>
      <c r="O34" s="2">
        <f t="shared" si="24"/>
        <v>5701.5605103556099</v>
      </c>
      <c r="P34" s="2"/>
      <c r="Q34" s="2"/>
      <c r="R34">
        <f t="shared" si="44"/>
        <v>2018</v>
      </c>
      <c r="S34" s="2">
        <f t="shared" si="45"/>
        <v>64996.659378378696</v>
      </c>
      <c r="T34" s="2"/>
      <c r="U34" s="2"/>
      <c r="V34" s="2"/>
      <c r="W34" s="2"/>
      <c r="X34" s="2"/>
      <c r="Y34" s="2">
        <f t="shared" si="46"/>
        <v>45432.589121447614</v>
      </c>
      <c r="Z34" s="2">
        <f t="shared" si="47"/>
        <v>110429.24849982631</v>
      </c>
      <c r="AA34" s="2">
        <f t="shared" si="48"/>
        <v>-8973.187249898052</v>
      </c>
      <c r="AB34" s="6">
        <f t="shared" si="49"/>
        <v>-7.5150788956319645E-2</v>
      </c>
      <c r="AC34" s="7">
        <f t="shared" si="50"/>
        <v>0.92484921104368034</v>
      </c>
      <c r="AD34" s="2">
        <f t="shared" si="51"/>
        <v>0</v>
      </c>
      <c r="AE34" s="2"/>
      <c r="AG34">
        <f t="shared" si="52"/>
        <v>2018</v>
      </c>
      <c r="AH34" s="6">
        <f t="shared" si="53"/>
        <v>0.58858192246487062</v>
      </c>
      <c r="AI34" s="6"/>
      <c r="AJ34" s="6"/>
      <c r="AK34" s="6"/>
      <c r="AL34" s="7"/>
      <c r="AM34" s="6"/>
      <c r="AN34" s="6">
        <f t="shared" si="54"/>
        <v>0.41141807753512943</v>
      </c>
      <c r="AO34" s="20">
        <f t="shared" si="55"/>
        <v>1</v>
      </c>
      <c r="AP34" s="7">
        <f t="shared" si="30"/>
        <v>0.58858192246487062</v>
      </c>
      <c r="AQ34" s="7">
        <f t="shared" si="31"/>
        <v>0</v>
      </c>
      <c r="AR34" s="22"/>
      <c r="AS34">
        <f t="shared" si="56"/>
        <v>2018</v>
      </c>
      <c r="AT34" s="1" t="b">
        <f t="shared" si="57"/>
        <v>1</v>
      </c>
      <c r="AU34" s="1"/>
      <c r="AV34" s="1"/>
      <c r="AW34" s="1"/>
      <c r="AX34" s="1"/>
      <c r="AY34" s="1"/>
      <c r="AZ34" s="1" t="b">
        <f t="shared" si="58"/>
        <v>1</v>
      </c>
      <c r="BA34" s="1" t="b">
        <f t="shared" si="59"/>
        <v>1</v>
      </c>
      <c r="BC34">
        <f t="shared" si="60"/>
        <v>2018</v>
      </c>
      <c r="BD34" s="36">
        <f t="shared" si="34"/>
        <v>66257.549099895783</v>
      </c>
      <c r="BE34" s="2"/>
      <c r="BF34" s="58"/>
      <c r="BG34" s="58"/>
      <c r="BH34" s="58"/>
      <c r="BI34" s="58"/>
      <c r="BJ34" s="36">
        <f t="shared" si="35"/>
        <v>44171.699399930527</v>
      </c>
      <c r="BK34" s="2">
        <f t="shared" si="61"/>
        <v>110429.24849982631</v>
      </c>
      <c r="BL34" s="2">
        <f t="shared" si="62"/>
        <v>0</v>
      </c>
      <c r="BM34" s="2"/>
    </row>
    <row r="35" spans="1:65" x14ac:dyDescent="0.2">
      <c r="A35">
        <f t="shared" si="8"/>
        <v>2019</v>
      </c>
      <c r="B35" s="2">
        <f t="shared" ref="B35:B36" si="63">BD34*(1+(B16/100))</f>
        <v>87099.523744759004</v>
      </c>
      <c r="C35" s="2"/>
      <c r="D35" s="2"/>
      <c r="E35" s="2"/>
      <c r="F35" s="2"/>
      <c r="G35" s="2"/>
      <c r="H35" s="2">
        <f t="shared" ref="H35:H36" si="64">BJ34*(1+(H16/100))</f>
        <v>48020.821285640472</v>
      </c>
      <c r="I35" s="2">
        <f t="shared" ref="I35:I36" si="65">SUM(B35:H35)</f>
        <v>135120.34503039948</v>
      </c>
      <c r="J35" s="2">
        <f t="shared" ref="J35:J36" si="66">I35-I34</f>
        <v>18989.536020217551</v>
      </c>
      <c r="K35" s="6">
        <f t="shared" ref="K35:K36" si="67">(J35/I34)</f>
        <v>0.1635185028165318</v>
      </c>
      <c r="L35" s="7">
        <f t="shared" ref="L35:L36" si="68">K35+1</f>
        <v>1.1635185028165318</v>
      </c>
      <c r="N35">
        <f t="shared" ref="N35:N36" si="69">A35</f>
        <v>2019</v>
      </c>
      <c r="O35" s="2">
        <f t="shared" si="24"/>
        <v>5831.9151540913772</v>
      </c>
      <c r="P35" s="2"/>
      <c r="Q35" s="2"/>
      <c r="R35">
        <f t="shared" ref="R35:R36" si="70">A35</f>
        <v>2019</v>
      </c>
      <c r="S35" s="2">
        <f t="shared" ref="S35:S36" si="71">B35-($O35*0.6)</f>
        <v>83600.374652304177</v>
      </c>
      <c r="T35" s="2"/>
      <c r="U35" s="2"/>
      <c r="V35" s="2"/>
      <c r="W35" s="2"/>
      <c r="X35" s="2"/>
      <c r="Y35" s="2">
        <f t="shared" ref="Y35:Y36" si="72">H35-($O35*0.4)</f>
        <v>45688.055224003918</v>
      </c>
      <c r="Z35" s="2">
        <f t="shared" ref="Z35:Z36" si="73">SUM(S35:Y35)</f>
        <v>129288.4298763081</v>
      </c>
      <c r="AA35" s="2">
        <f t="shared" ref="AA35:AA36" si="74">Z35-Z34</f>
        <v>18859.181376481793</v>
      </c>
      <c r="AB35" s="6">
        <f t="shared" ref="AB35:AB36" si="75">(AA35/Z34)</f>
        <v>0.1707806729891081</v>
      </c>
      <c r="AC35" s="7">
        <f t="shared" ref="AC35:AC36" si="76">AB35+1</f>
        <v>1.1707806729891082</v>
      </c>
      <c r="AD35" s="2">
        <f t="shared" ref="AD35:AD36" si="77">Z35-(I35-O35)</f>
        <v>0</v>
      </c>
      <c r="AE35" s="2"/>
      <c r="AG35">
        <f t="shared" ref="AG35:AG36" si="78">A35</f>
        <v>2019</v>
      </c>
      <c r="AH35" s="6">
        <f t="shared" ref="AH35:AH36" si="79">S35/$Z35</f>
        <v>0.6466191501612768</v>
      </c>
      <c r="AI35" s="6"/>
      <c r="AJ35" s="6"/>
      <c r="AK35" s="6"/>
      <c r="AL35" s="7"/>
      <c r="AM35" s="6"/>
      <c r="AN35" s="6">
        <f t="shared" ref="AN35:AN36" si="80">Y35/$Z35</f>
        <v>0.35338084983872314</v>
      </c>
      <c r="AO35" s="20">
        <f t="shared" ref="AO35:AO36" si="81">SUM(AH35:AN35)</f>
        <v>1</v>
      </c>
      <c r="AP35" s="7">
        <f t="shared" ref="AP35:AP36" si="82">SUM(AH35:AM35)</f>
        <v>0.6466191501612768</v>
      </c>
      <c r="AQ35" s="7">
        <f t="shared" ref="AQ35:AQ36" si="83">AO35-(AP35+AN35)</f>
        <v>0</v>
      </c>
      <c r="AR35" s="22"/>
      <c r="AS35">
        <f t="shared" ref="AS35:AS36" si="84">AG35</f>
        <v>2019</v>
      </c>
      <c r="AT35" s="1" t="b">
        <f t="shared" ref="AT35:AT36" si="85">AND((S35/$Z35)&gt;0.55,(S35/$Z35)&lt;0.65)</f>
        <v>1</v>
      </c>
      <c r="AU35" s="1"/>
      <c r="AV35" s="1"/>
      <c r="AW35" s="1"/>
      <c r="AX35" s="1"/>
      <c r="AY35" s="1"/>
      <c r="AZ35" s="1" t="b">
        <f t="shared" ref="AZ35:AZ36" si="86">AND((Y35/$Z35)&gt;0.35,(Y35/$Z35)&lt;0.45)</f>
        <v>1</v>
      </c>
      <c r="BA35" s="1" t="b">
        <f t="shared" ref="BA35:BA36" si="87">AND((Z35/$Z35)&gt;0.999,(Z35/$Z35)&lt;1.01)</f>
        <v>1</v>
      </c>
      <c r="BC35">
        <f t="shared" ref="BC35:BC36" si="88">AS35</f>
        <v>2019</v>
      </c>
      <c r="BD35" s="36">
        <f t="shared" si="34"/>
        <v>77573.057925784859</v>
      </c>
      <c r="BE35" s="2"/>
      <c r="BF35" s="58"/>
      <c r="BG35" s="58"/>
      <c r="BH35" s="58"/>
      <c r="BI35" s="58"/>
      <c r="BJ35" s="36">
        <f t="shared" si="35"/>
        <v>51715.371950523244</v>
      </c>
      <c r="BK35" s="2">
        <f t="shared" ref="BK35:BK36" si="89">Z35</f>
        <v>129288.4298763081</v>
      </c>
      <c r="BL35" s="2">
        <f t="shared" ref="BL35:BL36" si="90">SUM(BD35:BJ35)-Z35</f>
        <v>0</v>
      </c>
      <c r="BM35" s="2"/>
    </row>
    <row r="36" spans="1:65" x14ac:dyDescent="0.2">
      <c r="A36">
        <f t="shared" si="8"/>
        <v>2020</v>
      </c>
      <c r="B36" s="2">
        <f t="shared" si="63"/>
        <v>91823.228666751529</v>
      </c>
      <c r="C36" s="2"/>
      <c r="D36" s="2"/>
      <c r="E36" s="2"/>
      <c r="F36" s="2"/>
      <c r="G36" s="2"/>
      <c r="H36" s="2">
        <f t="shared" si="64"/>
        <v>55707.798665103634</v>
      </c>
      <c r="I36" s="2">
        <f t="shared" si="65"/>
        <v>147531.02733185515</v>
      </c>
      <c r="J36" s="2">
        <f t="shared" si="66"/>
        <v>12410.682301455672</v>
      </c>
      <c r="K36" s="6">
        <f t="shared" si="67"/>
        <v>9.1849101618734816E-2</v>
      </c>
      <c r="L36" s="7">
        <f t="shared" si="68"/>
        <v>1.0918491016187348</v>
      </c>
      <c r="N36">
        <f t="shared" si="69"/>
        <v>2020</v>
      </c>
      <c r="O36" s="2">
        <f t="shared" si="24"/>
        <v>5831.9151540913772</v>
      </c>
      <c r="P36" s="2"/>
      <c r="Q36" s="2"/>
      <c r="R36">
        <f t="shared" si="70"/>
        <v>2020</v>
      </c>
      <c r="S36" s="2">
        <f t="shared" si="71"/>
        <v>88324.079574296702</v>
      </c>
      <c r="T36" s="2"/>
      <c r="U36" s="2"/>
      <c r="V36" s="2"/>
      <c r="W36" s="2"/>
      <c r="X36" s="2"/>
      <c r="Y36" s="2">
        <f t="shared" si="72"/>
        <v>53375.03260346708</v>
      </c>
      <c r="Z36" s="2">
        <f t="shared" si="73"/>
        <v>141699.11217776377</v>
      </c>
      <c r="AA36" s="2">
        <f t="shared" si="74"/>
        <v>12410.682301455672</v>
      </c>
      <c r="AB36" s="6">
        <f t="shared" si="75"/>
        <v>9.5992211471120276E-2</v>
      </c>
      <c r="AC36" s="7">
        <f t="shared" si="76"/>
        <v>1.0959922114711202</v>
      </c>
      <c r="AD36" s="2">
        <f t="shared" si="77"/>
        <v>0</v>
      </c>
      <c r="AE36" s="2"/>
      <c r="AG36">
        <f t="shared" si="78"/>
        <v>2020</v>
      </c>
      <c r="AH36" s="6">
        <f t="shared" si="79"/>
        <v>0.62332133361211717</v>
      </c>
      <c r="AI36" s="6"/>
      <c r="AJ36" s="6"/>
      <c r="AK36" s="6"/>
      <c r="AL36" s="7"/>
      <c r="AM36" s="6"/>
      <c r="AN36" s="6">
        <f t="shared" si="80"/>
        <v>0.37667866638788294</v>
      </c>
      <c r="AO36" s="20">
        <f t="shared" si="81"/>
        <v>1</v>
      </c>
      <c r="AP36" s="7">
        <f t="shared" si="82"/>
        <v>0.62332133361211717</v>
      </c>
      <c r="AQ36" s="7">
        <f t="shared" si="83"/>
        <v>0</v>
      </c>
      <c r="AR36" s="22"/>
      <c r="AS36">
        <f t="shared" si="84"/>
        <v>2020</v>
      </c>
      <c r="AT36" s="1" t="b">
        <f t="shared" si="85"/>
        <v>1</v>
      </c>
      <c r="AU36" s="1"/>
      <c r="AV36" s="1"/>
      <c r="AW36" s="1"/>
      <c r="AX36" s="1"/>
      <c r="AY36" s="1"/>
      <c r="AZ36" s="1" t="b">
        <f t="shared" si="86"/>
        <v>1</v>
      </c>
      <c r="BA36" s="1" t="b">
        <f t="shared" si="87"/>
        <v>1</v>
      </c>
      <c r="BC36">
        <f t="shared" si="88"/>
        <v>2020</v>
      </c>
      <c r="BD36" s="36">
        <f t="shared" si="34"/>
        <v>85019.467306658262</v>
      </c>
      <c r="BE36" s="2"/>
      <c r="BF36" s="58"/>
      <c r="BG36" s="58"/>
      <c r="BH36" s="58"/>
      <c r="BI36" s="58"/>
      <c r="BJ36" s="36">
        <f t="shared" si="35"/>
        <v>56679.644871105513</v>
      </c>
      <c r="BK36" s="2">
        <f t="shared" si="89"/>
        <v>141699.11217776377</v>
      </c>
      <c r="BL36" s="2">
        <f t="shared" si="90"/>
        <v>0</v>
      </c>
      <c r="BM36" s="2"/>
    </row>
    <row r="37" spans="1:65" x14ac:dyDescent="0.2">
      <c r="A37" s="9" t="s">
        <v>44</v>
      </c>
      <c r="B37" s="10">
        <f>BD36</f>
        <v>85019.467306658262</v>
      </c>
      <c r="C37" s="10"/>
      <c r="D37" s="10"/>
      <c r="E37" s="10"/>
      <c r="F37" s="10"/>
      <c r="G37" s="10"/>
      <c r="H37" s="10">
        <f>BJ36</f>
        <v>56679.644871105513</v>
      </c>
      <c r="I37" s="10">
        <f t="shared" si="6"/>
        <v>141699.11217776377</v>
      </c>
      <c r="J37" s="10"/>
      <c r="K37" s="10"/>
      <c r="N37" t="s">
        <v>75</v>
      </c>
      <c r="O37" s="2">
        <f>O36</f>
        <v>5831.9151540913772</v>
      </c>
      <c r="P37" s="2"/>
      <c r="R37" s="9" t="s">
        <v>44</v>
      </c>
      <c r="S37" s="10">
        <f>S36</f>
        <v>88324.079574296702</v>
      </c>
      <c r="T37" s="10"/>
      <c r="U37" s="10"/>
      <c r="V37" s="10"/>
      <c r="W37" s="10"/>
      <c r="X37" s="10"/>
      <c r="Y37" s="10">
        <f>Y36</f>
        <v>53375.03260346708</v>
      </c>
      <c r="Z37" s="10">
        <f>Z36</f>
        <v>141699.11217776377</v>
      </c>
      <c r="AA37" s="10"/>
      <c r="AB37" s="10"/>
      <c r="AD37" s="40"/>
      <c r="AE37" s="40"/>
      <c r="AG37" s="68" t="s">
        <v>169</v>
      </c>
      <c r="AH37" s="69">
        <f>AH36</f>
        <v>0.62332133361211717</v>
      </c>
      <c r="AI37" s="68"/>
      <c r="AJ37" s="69"/>
      <c r="AK37" s="68"/>
      <c r="AL37" s="68"/>
      <c r="AM37" s="69"/>
      <c r="AN37" s="69">
        <f>AN36</f>
        <v>0.37667866638788294</v>
      </c>
      <c r="AO37" s="69">
        <f>AO36</f>
        <v>1</v>
      </c>
      <c r="AP37" s="69">
        <f>AP36</f>
        <v>0.62332133361211717</v>
      </c>
    </row>
    <row r="38" spans="1:65" x14ac:dyDescent="0.2">
      <c r="A38" s="11" t="s">
        <v>88</v>
      </c>
      <c r="I38" s="6">
        <f>(Z37-Z22)/Z22</f>
        <v>0.41699112177763775</v>
      </c>
      <c r="K38" s="6"/>
      <c r="N38" t="s">
        <v>36</v>
      </c>
      <c r="O38" s="2">
        <f>SUM(O23:O36)</f>
        <v>74132.954391292718</v>
      </c>
      <c r="P38" s="2"/>
      <c r="AB38" s="6"/>
      <c r="AJ38" s="7"/>
    </row>
    <row r="39" spans="1:65" x14ac:dyDescent="0.2">
      <c r="A39" s="1" t="s">
        <v>89</v>
      </c>
      <c r="I39" s="12">
        <f>STDEV(AC23:AC36)</f>
        <v>0.1049689932785768</v>
      </c>
      <c r="AK39" s="70"/>
      <c r="AL39" s="70"/>
      <c r="AM39" s="71" t="s">
        <v>170</v>
      </c>
      <c r="AN39" s="70" t="b">
        <f>IF((AN36=AN37),TRUE,FALSE)</f>
        <v>1</v>
      </c>
      <c r="AO39" s="70"/>
      <c r="AP39" s="72" t="b">
        <f>IF(((SUM(AH36:AM36))=AP37),TRUE,FALSE)</f>
        <v>1</v>
      </c>
    </row>
    <row r="40" spans="1:65" x14ac:dyDescent="0.2">
      <c r="A40" s="1" t="s">
        <v>90</v>
      </c>
      <c r="I40" s="13">
        <f>((1+I38)^(1/I47))-1</f>
        <v>2.5207885141838693E-2</v>
      </c>
    </row>
    <row r="41" spans="1:65" x14ac:dyDescent="0.2">
      <c r="A41" s="1" t="s">
        <v>48</v>
      </c>
      <c r="I41" s="27">
        <f>AA24</f>
        <v>-25210.837267200011</v>
      </c>
      <c r="O41" s="2"/>
      <c r="P41" s="2"/>
    </row>
    <row r="42" spans="1:65" x14ac:dyDescent="0.2">
      <c r="A42" s="1" t="s">
        <v>49</v>
      </c>
      <c r="I42" s="28">
        <f>AB24</f>
        <v>-0.24904041884816763</v>
      </c>
    </row>
    <row r="43" spans="1:65" x14ac:dyDescent="0.2">
      <c r="A43" s="1" t="s">
        <v>77</v>
      </c>
      <c r="I43" s="2">
        <f>O38</f>
        <v>74132.954391292718</v>
      </c>
    </row>
    <row r="44" spans="1:65" x14ac:dyDescent="0.2">
      <c r="A44" s="3" t="s">
        <v>50</v>
      </c>
      <c r="I44" s="29">
        <f>I37-Z36</f>
        <v>0</v>
      </c>
    </row>
    <row r="45" spans="1:65" x14ac:dyDescent="0.2">
      <c r="A45" s="3" t="s">
        <v>134</v>
      </c>
      <c r="I45" s="29">
        <f>((SUM(AA23:AA36)))-(I37-I22)</f>
        <v>0</v>
      </c>
    </row>
    <row r="46" spans="1:65" x14ac:dyDescent="0.2">
      <c r="A46" s="3" t="s">
        <v>135</v>
      </c>
      <c r="I46" s="29">
        <f>(SUM(O23:O36))-I43</f>
        <v>0</v>
      </c>
    </row>
    <row r="47" spans="1:65" x14ac:dyDescent="0.2">
      <c r="A47" s="3" t="s">
        <v>139</v>
      </c>
      <c r="I47" s="3">
        <f>COUNTA(I23:I36)</f>
        <v>14</v>
      </c>
    </row>
    <row r="48" spans="1:65" x14ac:dyDescent="0.2">
      <c r="A48" s="80" t="s">
        <v>91</v>
      </c>
      <c r="B48" s="2"/>
      <c r="C48" s="2"/>
      <c r="D48" s="2"/>
      <c r="E48" s="2"/>
      <c r="G48" s="2"/>
      <c r="H48" s="2"/>
      <c r="I48" s="81">
        <f>AP37</f>
        <v>0.62332133361211717</v>
      </c>
    </row>
    <row r="49" spans="1:9" x14ac:dyDescent="0.2">
      <c r="A49" s="80" t="s">
        <v>174</v>
      </c>
      <c r="B49" s="2"/>
      <c r="D49" s="2"/>
      <c r="E49" s="2"/>
      <c r="G49" s="2"/>
      <c r="H49" s="2"/>
      <c r="I49" s="81">
        <f>AN37</f>
        <v>0.37667866638788294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15AB-A6D3-424C-A578-5538226A6CAB}">
  <dimension ref="A1:BZ50"/>
  <sheetViews>
    <sheetView topLeftCell="A8" zoomScaleNormal="100" workbookViewId="0">
      <selection activeCell="A36" sqref="A36:XFD37"/>
    </sheetView>
  </sheetViews>
  <sheetFormatPr baseColWidth="10" defaultColWidth="8.83203125" defaultRowHeight="15" x14ac:dyDescent="0.2"/>
  <cols>
    <col min="1" max="1" width="25.5" customWidth="1"/>
    <col min="9" max="9" width="11.6640625" customWidth="1"/>
    <col min="10" max="10" width="10" bestFit="1" customWidth="1"/>
    <col min="15" max="15" width="9.83203125" bestFit="1" customWidth="1"/>
    <col min="16" max="16" width="9.83203125" customWidth="1"/>
    <col min="19" max="19" width="10.83203125" bestFit="1" customWidth="1"/>
    <col min="21" max="21" width="11.83203125" bestFit="1" customWidth="1"/>
    <col min="25" max="26" width="10.83203125" bestFit="1" customWidth="1"/>
    <col min="27" max="31" width="10.83203125" customWidth="1"/>
    <col min="46" max="46" width="10.83203125" bestFit="1" customWidth="1"/>
    <col min="53" max="53" width="9.33203125" bestFit="1" customWidth="1"/>
  </cols>
  <sheetData>
    <row r="1" spans="1:16" x14ac:dyDescent="0.2">
      <c r="A1" s="18" t="s">
        <v>17</v>
      </c>
      <c r="N1" s="18" t="s">
        <v>131</v>
      </c>
    </row>
    <row r="2" spans="1:16" x14ac:dyDescent="0.2">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6"/>
      <c r="O2" s="47"/>
      <c r="P2" s="41"/>
    </row>
    <row r="3" spans="1:16" x14ac:dyDescent="0.2">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6"/>
      <c r="O3" s="47"/>
      <c r="P3" s="41"/>
    </row>
    <row r="4" spans="1:16" x14ac:dyDescent="0.2">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5" spans="1:16" x14ac:dyDescent="0.2">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'4.5% Withdrawals-No Rebalancing'!N15</f>
        <v>2018</v>
      </c>
      <c r="O15" s="47">
        <f>'4.5% Withdrawals-No Rebalancing'!O15</f>
        <v>2.2088751106458498E-2</v>
      </c>
      <c r="P15" s="41"/>
    </row>
    <row r="16" spans="1:16" x14ac:dyDescent="0.2">
      <c r="A16" s="16">
        <f>'Non-Rebalanced Strategy'!A16</f>
        <v>2019</v>
      </c>
      <c r="B16" s="16">
        <f>'Non-Rebalanced Strategy'!B16</f>
        <v>31.456</v>
      </c>
      <c r="C16" s="16"/>
      <c r="D16" s="16">
        <f>'Non-Rebalanced Strategy'!D16</f>
        <v>31.031600000000001</v>
      </c>
      <c r="E16" s="16">
        <f>'Non-Rebalanced Strategy'!E16</f>
        <v>27.3674</v>
      </c>
      <c r="F16" s="16"/>
      <c r="G16" s="16">
        <f>'Non-Rebalanced Strategy'!G16</f>
        <v>21.507999999999999</v>
      </c>
      <c r="H16" s="16">
        <f>'Non-Rebalanced Strategy'!H16</f>
        <v>8.7140000000000004</v>
      </c>
      <c r="N16" s="46">
        <f>'4.5% Withdrawals-No Rebalancing'!N16</f>
        <v>2019</v>
      </c>
      <c r="O16" s="47">
        <f>'4.5% Withdrawals-No Rebalancing'!O16</f>
        <v>2.2862976460393248E-2</v>
      </c>
      <c r="P16" s="41"/>
    </row>
    <row r="17" spans="1:78" x14ac:dyDescent="0.2">
      <c r="A17" s="16">
        <f>'Non-Rebalanced Strategy'!A17</f>
        <v>2020</v>
      </c>
      <c r="B17" s="16">
        <f>'Non-Rebalanced Strategy'!B17</f>
        <v>18.37</v>
      </c>
      <c r="C17" s="16"/>
      <c r="D17" s="16">
        <f>'Non-Rebalanced Strategy'!D17</f>
        <v>18.239999999999998</v>
      </c>
      <c r="E17" s="16">
        <f>'Non-Rebalanced Strategy'!E17</f>
        <v>19.11</v>
      </c>
      <c r="F17" s="16"/>
      <c r="G17" s="16">
        <f>'Non-Rebalanced Strategy'!G17</f>
        <v>11.28</v>
      </c>
      <c r="H17" s="16">
        <f>'Non-Rebalanced Strategy'!H17</f>
        <v>7.72</v>
      </c>
      <c r="N17" s="46">
        <f>'4.5% Withdrawals-No Rebalancing'!N17</f>
        <v>0</v>
      </c>
      <c r="O17" s="47">
        <f>'4.5% Withdrawals-No Rebalancing'!O17</f>
        <v>0</v>
      </c>
      <c r="P17" s="41"/>
    </row>
    <row r="20" spans="1:78" x14ac:dyDescent="0.2">
      <c r="A20" s="18" t="s">
        <v>99</v>
      </c>
      <c r="N20" s="18" t="s">
        <v>64</v>
      </c>
      <c r="R20" s="18" t="s">
        <v>101</v>
      </c>
      <c r="AG20" s="18" t="s">
        <v>102</v>
      </c>
      <c r="AS20" s="18" t="s">
        <v>86</v>
      </c>
      <c r="BD20" s="18"/>
    </row>
    <row r="21" spans="1:78" x14ac:dyDescent="0.2">
      <c r="B21" s="4" t="str">
        <f t="shared" ref="B21:H22" si="0">B2</f>
        <v>LC Stocks</v>
      </c>
      <c r="C21" s="4" t="str">
        <f t="shared" si="0"/>
        <v>Ext Mkt</v>
      </c>
      <c r="D21" s="4" t="str">
        <f t="shared" si="0"/>
        <v>Mcap Stk</v>
      </c>
      <c r="E21" s="4" t="str">
        <f t="shared" si="0"/>
        <v>Small Cap</v>
      </c>
      <c r="F21" s="4" t="str">
        <f t="shared" si="0"/>
        <v>Intl Val</v>
      </c>
      <c r="G21" s="4" t="str">
        <f t="shared" si="0"/>
        <v>Tot Int Stk</v>
      </c>
      <c r="H21" s="4" t="str">
        <f t="shared" si="0"/>
        <v>Bonds</v>
      </c>
      <c r="I21" s="5"/>
      <c r="J21" s="5" t="s">
        <v>42</v>
      </c>
      <c r="K21" s="5" t="s">
        <v>39</v>
      </c>
      <c r="L21" s="5" t="s">
        <v>40</v>
      </c>
      <c r="O21" s="66">
        <v>4.4999999999999998E-2</v>
      </c>
      <c r="S21" s="4" t="str">
        <f t="shared" ref="S21:Z23" si="1">B21</f>
        <v>LC Stocks</v>
      </c>
      <c r="T21" s="4" t="str">
        <f t="shared" si="1"/>
        <v>Ext Mkt</v>
      </c>
      <c r="U21" s="4" t="str">
        <f t="shared" si="1"/>
        <v>Mcap Stk</v>
      </c>
      <c r="V21" s="4" t="str">
        <f t="shared" si="1"/>
        <v>Small Cap</v>
      </c>
      <c r="W21" s="4" t="str">
        <f t="shared" si="1"/>
        <v>Intl Val</v>
      </c>
      <c r="X21" s="4" t="str">
        <f t="shared" si="1"/>
        <v>Tot Int Stk</v>
      </c>
      <c r="Y21" s="4" t="str">
        <f t="shared" si="1"/>
        <v>Bonds</v>
      </c>
      <c r="Z21" s="5"/>
      <c r="AA21" s="5" t="s">
        <v>42</v>
      </c>
      <c r="AB21" s="5" t="s">
        <v>39</v>
      </c>
      <c r="AC21" s="5" t="s">
        <v>40</v>
      </c>
      <c r="AD21" s="5" t="s">
        <v>54</v>
      </c>
      <c r="AE21" s="5"/>
      <c r="AH21" s="4" t="str">
        <f t="shared" ref="AH21:AN22" si="2">B21</f>
        <v>LC Stocks</v>
      </c>
      <c r="AI21" s="4" t="str">
        <f t="shared" si="2"/>
        <v>Ext Mkt</v>
      </c>
      <c r="AJ21" s="4" t="str">
        <f t="shared" si="2"/>
        <v>Mcap Stk</v>
      </c>
      <c r="AK21" s="4" t="str">
        <f t="shared" si="2"/>
        <v>Small Cap</v>
      </c>
      <c r="AL21" s="4" t="str">
        <f t="shared" si="2"/>
        <v>Intl Val</v>
      </c>
      <c r="AM21" s="4" t="str">
        <f t="shared" si="2"/>
        <v>Tot Int Stk</v>
      </c>
      <c r="AN21" s="4" t="str">
        <f t="shared" si="2"/>
        <v>Bonds</v>
      </c>
      <c r="AO21" s="5"/>
      <c r="AP21" s="5" t="s">
        <v>171</v>
      </c>
      <c r="AQ21" s="3" t="s">
        <v>172</v>
      </c>
      <c r="AT21" s="4" t="str">
        <f t="shared" ref="AT21:AZ22" si="3">AH21</f>
        <v>LC Stocks</v>
      </c>
      <c r="AU21" s="4" t="str">
        <f t="shared" si="3"/>
        <v>Ext Mkt</v>
      </c>
      <c r="AV21" s="4" t="str">
        <f t="shared" si="3"/>
        <v>Mcap Stk</v>
      </c>
      <c r="AW21" s="4" t="str">
        <f t="shared" si="3"/>
        <v>Small Cap</v>
      </c>
      <c r="AX21" s="4" t="str">
        <f t="shared" si="3"/>
        <v>Intl Val</v>
      </c>
      <c r="AY21" s="4" t="str">
        <f t="shared" si="3"/>
        <v>Tot Int Stk</v>
      </c>
      <c r="AZ21" s="4" t="str">
        <f t="shared" si="3"/>
        <v>Bonds</v>
      </c>
      <c r="BA21" s="4"/>
      <c r="BB21" t="s">
        <v>54</v>
      </c>
    </row>
    <row r="22" spans="1:78" x14ac:dyDescent="0.2">
      <c r="A22" t="s">
        <v>38</v>
      </c>
      <c r="B22" s="4" t="str">
        <f t="shared" si="0"/>
        <v>VFINX</v>
      </c>
      <c r="C22" s="4" t="str">
        <f t="shared" si="0"/>
        <v>VEXMX</v>
      </c>
      <c r="D22" s="4" t="str">
        <f t="shared" si="0"/>
        <v>VIMSX</v>
      </c>
      <c r="E22" s="4" t="str">
        <f t="shared" si="0"/>
        <v>NAESX</v>
      </c>
      <c r="F22" s="4" t="str">
        <f t="shared" si="0"/>
        <v>VTRIX</v>
      </c>
      <c r="G22" s="4" t="str">
        <f t="shared" si="0"/>
        <v>VGTSX</v>
      </c>
      <c r="H22" s="4" t="str">
        <f t="shared" si="0"/>
        <v>VBMFX</v>
      </c>
      <c r="I22" s="5" t="s">
        <v>36</v>
      </c>
      <c r="J22" s="5" t="s">
        <v>43</v>
      </c>
      <c r="K22" s="5" t="s">
        <v>41</v>
      </c>
      <c r="L22" s="5" t="s">
        <v>41</v>
      </c>
      <c r="R22" t="str">
        <f>A22</f>
        <v>Fund</v>
      </c>
      <c r="S22" s="4" t="str">
        <f t="shared" si="1"/>
        <v>VFINX</v>
      </c>
      <c r="T22" s="4" t="str">
        <f t="shared" si="1"/>
        <v>VEXMX</v>
      </c>
      <c r="U22" s="4" t="str">
        <f t="shared" si="1"/>
        <v>VIMSX</v>
      </c>
      <c r="V22" s="4" t="str">
        <f t="shared" si="1"/>
        <v>NAESX</v>
      </c>
      <c r="W22" s="4" t="str">
        <f t="shared" si="1"/>
        <v>VTRIX</v>
      </c>
      <c r="X22" s="4" t="str">
        <f t="shared" si="1"/>
        <v>VGTSX</v>
      </c>
      <c r="Y22" s="4" t="str">
        <f t="shared" si="1"/>
        <v>VBMFX</v>
      </c>
      <c r="Z22" s="5" t="str">
        <f t="shared" si="1"/>
        <v>Total</v>
      </c>
      <c r="AA22" s="5" t="s">
        <v>43</v>
      </c>
      <c r="AB22" s="5" t="s">
        <v>41</v>
      </c>
      <c r="AC22" s="5" t="s">
        <v>41</v>
      </c>
      <c r="AD22" s="5" t="s">
        <v>53</v>
      </c>
      <c r="AE22" s="5"/>
      <c r="AG22" t="s">
        <v>38</v>
      </c>
      <c r="AH22" s="4" t="str">
        <f t="shared" si="2"/>
        <v>VFINX</v>
      </c>
      <c r="AI22" s="4" t="str">
        <f t="shared" si="2"/>
        <v>VEXMX</v>
      </c>
      <c r="AJ22" s="4" t="str">
        <f t="shared" si="2"/>
        <v>VIMSX</v>
      </c>
      <c r="AK22" s="4" t="str">
        <f t="shared" si="2"/>
        <v>NAESX</v>
      </c>
      <c r="AL22" s="4" t="str">
        <f t="shared" si="2"/>
        <v>VTRIX</v>
      </c>
      <c r="AM22" s="4" t="str">
        <f t="shared" si="2"/>
        <v>VGTSX</v>
      </c>
      <c r="AN22" s="4" t="str">
        <f t="shared" si="2"/>
        <v>VBMFX</v>
      </c>
      <c r="AO22" s="5" t="s">
        <v>36</v>
      </c>
      <c r="AP22" s="5" t="s">
        <v>172</v>
      </c>
      <c r="AQ22" s="3" t="s">
        <v>53</v>
      </c>
      <c r="AS22" t="s">
        <v>38</v>
      </c>
      <c r="AT22" s="4" t="str">
        <f t="shared" si="3"/>
        <v>VFINX</v>
      </c>
      <c r="AU22" s="4" t="str">
        <f t="shared" si="3"/>
        <v>VEXMX</v>
      </c>
      <c r="AV22" s="4" t="str">
        <f t="shared" si="3"/>
        <v>VIMSX</v>
      </c>
      <c r="AW22" s="4" t="str">
        <f t="shared" si="3"/>
        <v>NAESX</v>
      </c>
      <c r="AX22" s="4" t="str">
        <f t="shared" si="3"/>
        <v>VTRIX</v>
      </c>
      <c r="AY22" s="4" t="str">
        <f t="shared" si="3"/>
        <v>VGTSX</v>
      </c>
      <c r="AZ22" s="4" t="str">
        <f t="shared" si="3"/>
        <v>VBMFX</v>
      </c>
      <c r="BA22" s="4" t="str">
        <f>AO22</f>
        <v>Total</v>
      </c>
      <c r="BB22" t="s">
        <v>53</v>
      </c>
    </row>
    <row r="23" spans="1:78" x14ac:dyDescent="0.2">
      <c r="A23" t="s">
        <v>37</v>
      </c>
      <c r="B23" s="2">
        <f>'Non-Rebalanced Strategy'!B23</f>
        <v>20000</v>
      </c>
      <c r="C23" s="2"/>
      <c r="D23" s="2">
        <f>'Non-Rebalanced Strategy'!D23</f>
        <v>15000</v>
      </c>
      <c r="E23" s="2">
        <f>'Non-Rebalanced Strategy'!E23</f>
        <v>10000</v>
      </c>
      <c r="F23" s="2"/>
      <c r="G23" s="2">
        <f>'Non-Rebalanced Strategy'!G23</f>
        <v>15000</v>
      </c>
      <c r="H23" s="2">
        <f>'Non-Rebalanced Strategy'!H23</f>
        <v>40000</v>
      </c>
      <c r="I23" s="2">
        <f>SUM(B23:H23)</f>
        <v>100000</v>
      </c>
      <c r="N23" s="19"/>
      <c r="R23" t="str">
        <f>A23</f>
        <v>Stating Balance</v>
      </c>
      <c r="S23" s="2">
        <f>B23</f>
        <v>20000</v>
      </c>
      <c r="T23" s="2">
        <f t="shared" si="1"/>
        <v>0</v>
      </c>
      <c r="U23" s="2">
        <f t="shared" si="1"/>
        <v>15000</v>
      </c>
      <c r="V23" s="2">
        <f t="shared" si="1"/>
        <v>10000</v>
      </c>
      <c r="W23" s="2">
        <f t="shared" si="1"/>
        <v>0</v>
      </c>
      <c r="X23" s="2">
        <f t="shared" si="1"/>
        <v>15000</v>
      </c>
      <c r="Y23" s="2">
        <f t="shared" si="1"/>
        <v>40000</v>
      </c>
      <c r="Z23" s="2">
        <f t="shared" si="1"/>
        <v>100000</v>
      </c>
      <c r="AD23" s="2"/>
      <c r="AE23" s="2"/>
      <c r="AG23" s="19" t="s">
        <v>52</v>
      </c>
      <c r="AH23" s="6">
        <f t="shared" ref="AH23:AN33" si="4">S23/$Z23</f>
        <v>0.2</v>
      </c>
      <c r="AI23" s="6"/>
      <c r="AJ23" s="6">
        <f t="shared" si="4"/>
        <v>0.15</v>
      </c>
      <c r="AK23" s="6">
        <f t="shared" si="4"/>
        <v>0.1</v>
      </c>
      <c r="AL23" s="6"/>
      <c r="AM23" s="6">
        <f t="shared" si="4"/>
        <v>0.15</v>
      </c>
      <c r="AN23" s="6">
        <f>Y23/$Z23</f>
        <v>0.4</v>
      </c>
      <c r="AO23" s="55">
        <f>SUM(AH23:AN23)</f>
        <v>1</v>
      </c>
      <c r="AP23" s="22"/>
      <c r="AS23" s="19" t="str">
        <f>AG23</f>
        <v>Target Allocation</v>
      </c>
      <c r="AT23" s="22">
        <f>AH23</f>
        <v>0.2</v>
      </c>
      <c r="AU23" s="22"/>
      <c r="AV23" s="22">
        <f>AJ23</f>
        <v>0.15</v>
      </c>
      <c r="AW23" s="22">
        <f>AK23</f>
        <v>0.1</v>
      </c>
      <c r="AX23" s="22"/>
      <c r="AY23" s="22">
        <f>AM23</f>
        <v>0.15</v>
      </c>
      <c r="AZ23" s="22">
        <f>AN23</f>
        <v>0.4</v>
      </c>
      <c r="BA23" s="22">
        <f>SUM(AT23:AZ23)</f>
        <v>1</v>
      </c>
      <c r="BB23" s="2"/>
      <c r="BC23" s="2"/>
      <c r="BD23" s="19"/>
      <c r="BE23" s="22"/>
    </row>
    <row r="24" spans="1:78" x14ac:dyDescent="0.2">
      <c r="A24">
        <f t="shared" ref="A24:A35" si="5">A4</f>
        <v>2007</v>
      </c>
      <c r="B24" s="2">
        <f>B23*(1+(B4/100))</f>
        <v>21078</v>
      </c>
      <c r="C24" s="2"/>
      <c r="D24" s="2">
        <f>D23*(1+(D4/100))</f>
        <v>15903.150000000001</v>
      </c>
      <c r="E24" s="2">
        <f>E23*(1+(E4/100))</f>
        <v>10115.6</v>
      </c>
      <c r="F24" s="2"/>
      <c r="G24" s="2">
        <f>G23*(1+(G4/100))</f>
        <v>17328.3</v>
      </c>
      <c r="H24" s="2">
        <f>H23*(1+(H4/100))</f>
        <v>42768</v>
      </c>
      <c r="I24" s="2">
        <f>SUM(B24:H24)</f>
        <v>107193.05</v>
      </c>
      <c r="J24" s="2">
        <f>I24-I23</f>
        <v>7193.0500000000029</v>
      </c>
      <c r="K24" s="6">
        <f>(J24/I23)</f>
        <v>7.1930500000000022E-2</v>
      </c>
      <c r="L24" s="7">
        <f>K24+1</f>
        <v>1.0719305000000001</v>
      </c>
      <c r="N24">
        <f t="shared" ref="N24:N33" si="6">A24</f>
        <v>2007</v>
      </c>
      <c r="O24" s="2">
        <f>I24*O21</f>
        <v>4823.6872499999999</v>
      </c>
      <c r="P24" s="2"/>
      <c r="Q24" s="2"/>
      <c r="R24">
        <f t="shared" ref="R24:R33" si="7">A24</f>
        <v>2007</v>
      </c>
      <c r="S24" s="2">
        <f t="shared" ref="S24:S33" si="8">B24-($O24/5)</f>
        <v>20113.262549999999</v>
      </c>
      <c r="T24" s="2"/>
      <c r="U24" s="2">
        <f t="shared" ref="U24:V33" si="9">D24-($O24/5)</f>
        <v>14938.412550000001</v>
      </c>
      <c r="V24" s="2">
        <f t="shared" si="9"/>
        <v>9150.8625499999998</v>
      </c>
      <c r="W24" s="2"/>
      <c r="X24" s="2">
        <f t="shared" ref="X24:Y33" si="10">G24-($O24/5)</f>
        <v>16363.562549999999</v>
      </c>
      <c r="Y24" s="2">
        <f t="shared" si="10"/>
        <v>41803.262549999999</v>
      </c>
      <c r="Z24" s="2">
        <f>SUM(S24:Y24)</f>
        <v>102369.36275</v>
      </c>
      <c r="AA24" s="2">
        <f>Z24-Z23</f>
        <v>2369.3627500000002</v>
      </c>
      <c r="AB24" s="6">
        <f>(AA24/Z23)</f>
        <v>2.3693627500000002E-2</v>
      </c>
      <c r="AC24" s="7">
        <f>AB24+1</f>
        <v>1.0236936274999999</v>
      </c>
      <c r="AD24" s="2">
        <f>Z24-(I24-O24)</f>
        <v>0</v>
      </c>
      <c r="AE24" s="2"/>
      <c r="AG24">
        <f t="shared" ref="AG24:AG33" si="11">A24</f>
        <v>2007</v>
      </c>
      <c r="AH24" s="6">
        <f t="shared" si="4"/>
        <v>0.19647736402461877</v>
      </c>
      <c r="AI24" s="6"/>
      <c r="AJ24" s="6">
        <f t="shared" si="4"/>
        <v>0.14592659511304812</v>
      </c>
      <c r="AK24" s="6">
        <f t="shared" si="4"/>
        <v>8.9390637043894272E-2</v>
      </c>
      <c r="AL24" s="6"/>
      <c r="AM24" s="6">
        <f t="shared" si="4"/>
        <v>0.15984824082535376</v>
      </c>
      <c r="AN24" s="6">
        <f t="shared" si="4"/>
        <v>0.40835716299308505</v>
      </c>
      <c r="AO24" s="55">
        <f t="shared" ref="AO24:AO33" si="12">SUM(AH24:AN24)</f>
        <v>1</v>
      </c>
      <c r="AP24" s="7">
        <f>SUM(AH24:AM24)</f>
        <v>0.59164283700691489</v>
      </c>
      <c r="AQ24" s="7">
        <f>AO24-(AP24+AN24)</f>
        <v>0</v>
      </c>
      <c r="AS24">
        <f>AG24</f>
        <v>2007</v>
      </c>
      <c r="AT24" s="2">
        <f>S24</f>
        <v>20113.262549999999</v>
      </c>
      <c r="AU24" s="2"/>
      <c r="AV24" s="2">
        <f>U24</f>
        <v>14938.412550000001</v>
      </c>
      <c r="AW24" s="2">
        <f>V24</f>
        <v>9150.8625499999998</v>
      </c>
      <c r="AX24" s="2"/>
      <c r="AY24" s="2">
        <f>X24</f>
        <v>16363.562549999999</v>
      </c>
      <c r="AZ24" s="2">
        <f>Y24</f>
        <v>41803.262549999999</v>
      </c>
      <c r="BA24" s="2">
        <f>Z24</f>
        <v>102369.36275</v>
      </c>
      <c r="BB24" s="2">
        <f t="shared" ref="BB24:BB38" si="13">SUM(AT24:AZ24)-Z24</f>
        <v>0</v>
      </c>
      <c r="BC24" s="2"/>
      <c r="BE24" s="22"/>
      <c r="BZ24" s="2"/>
    </row>
    <row r="25" spans="1:78" x14ac:dyDescent="0.2">
      <c r="A25">
        <f t="shared" si="5"/>
        <v>2008</v>
      </c>
      <c r="B25" s="2">
        <f t="shared" ref="B25:B35" si="14">AT24*(1+(B5/100))</f>
        <v>12667.332753989998</v>
      </c>
      <c r="C25" s="2"/>
      <c r="D25" s="2">
        <f t="shared" ref="D25:D35" si="15">AV24*(1+(D5/100))</f>
        <v>8690.5708850880019</v>
      </c>
      <c r="E25" s="2">
        <f t="shared" ref="E25:E35" si="16">AW24*(1+(E5/100))</f>
        <v>5850.146428215</v>
      </c>
      <c r="F25" s="2"/>
      <c r="G25" s="2">
        <f t="shared" ref="G25:G35" si="17">AY24*(1+(G5/100))</f>
        <v>9147.0678298244984</v>
      </c>
      <c r="H25" s="2">
        <f t="shared" ref="H25:H35" si="18">AZ24*(1+(H5/100))</f>
        <v>43914.327308774999</v>
      </c>
      <c r="I25" s="2">
        <f>SUM(B25:H25)</f>
        <v>80269.445205892494</v>
      </c>
      <c r="J25" s="2">
        <f t="shared" ref="J25:J33" si="19">I25-I24</f>
        <v>-26923.604794107508</v>
      </c>
      <c r="K25" s="6">
        <f t="shared" ref="K25:K33" si="20">(J25/I24)</f>
        <v>-0.25116931362721284</v>
      </c>
      <c r="L25" s="7">
        <f t="shared" ref="L25:L33" si="21">K25+1</f>
        <v>0.74883068637278716</v>
      </c>
      <c r="N25">
        <f t="shared" si="6"/>
        <v>2008</v>
      </c>
      <c r="O25" s="2">
        <f t="shared" ref="O25:O35" si="22">O24*(1+O5)</f>
        <v>4823.6872499999999</v>
      </c>
      <c r="P25" s="2"/>
      <c r="Q25" s="2"/>
      <c r="R25">
        <f t="shared" si="7"/>
        <v>2008</v>
      </c>
      <c r="S25" s="2">
        <f t="shared" si="8"/>
        <v>11702.595303989998</v>
      </c>
      <c r="T25" s="2"/>
      <c r="U25" s="2">
        <f t="shared" si="9"/>
        <v>7725.8334350880023</v>
      </c>
      <c r="V25" s="2">
        <f t="shared" si="9"/>
        <v>4885.4089782150004</v>
      </c>
      <c r="W25" s="2"/>
      <c r="X25" s="2">
        <f t="shared" si="10"/>
        <v>8182.3303798244988</v>
      </c>
      <c r="Y25" s="2">
        <f t="shared" si="10"/>
        <v>42949.589858774998</v>
      </c>
      <c r="Z25" s="2">
        <f>SUM(S25:Y25)</f>
        <v>75445.757955892506</v>
      </c>
      <c r="AA25" s="2">
        <f t="shared" ref="AA25:AA33" si="23">Z25-Z24</f>
        <v>-26923.604794107494</v>
      </c>
      <c r="AB25" s="6">
        <f t="shared" ref="AB25:AB33" si="24">(AA25/Z24)</f>
        <v>-0.26300451688713372</v>
      </c>
      <c r="AC25" s="7">
        <f t="shared" ref="AC25:AC33" si="25">AB25+1</f>
        <v>0.73699548311286622</v>
      </c>
      <c r="AD25" s="2">
        <f>Z25-(I25-O25)</f>
        <v>0</v>
      </c>
      <c r="AE25" s="2"/>
      <c r="AG25">
        <f t="shared" si="11"/>
        <v>2008</v>
      </c>
      <c r="AH25" s="6">
        <f t="shared" si="4"/>
        <v>0.15511270111212389</v>
      </c>
      <c r="AI25" s="6"/>
      <c r="AJ25" s="6">
        <f t="shared" si="4"/>
        <v>0.10240248947601162</v>
      </c>
      <c r="AK25" s="6">
        <f t="shared" si="4"/>
        <v>6.4753925344233854E-2</v>
      </c>
      <c r="AL25" s="6"/>
      <c r="AM25" s="6">
        <f t="shared" si="4"/>
        <v>0.10845315364991225</v>
      </c>
      <c r="AN25" s="6">
        <f t="shared" si="4"/>
        <v>0.56927773041771823</v>
      </c>
      <c r="AO25" s="55">
        <f t="shared" si="12"/>
        <v>0.99999999999999978</v>
      </c>
      <c r="AP25" s="7">
        <f t="shared" ref="AP25:AP35" si="26">SUM(AH25:AM25)</f>
        <v>0.4307222695822816</v>
      </c>
      <c r="AQ25" s="7">
        <f t="shared" ref="AQ25:AQ35" si="27">AO25-(AP25+AN25)</f>
        <v>0</v>
      </c>
      <c r="AS25">
        <f t="shared" ref="AS25:AS33" si="28">AG25</f>
        <v>2008</v>
      </c>
      <c r="AT25" s="36">
        <v>0</v>
      </c>
      <c r="AU25" s="36"/>
      <c r="AV25" s="36">
        <v>0</v>
      </c>
      <c r="AW25" s="36">
        <v>0</v>
      </c>
      <c r="AX25" s="36"/>
      <c r="AY25" s="36">
        <v>0</v>
      </c>
      <c r="AZ25" s="36">
        <f>Z25</f>
        <v>75445.757955892506</v>
      </c>
      <c r="BA25" s="2">
        <f t="shared" ref="BA25:BA33" si="29">Z25</f>
        <v>75445.757955892506</v>
      </c>
      <c r="BB25" s="2">
        <f t="shared" si="13"/>
        <v>0</v>
      </c>
      <c r="BC25" s="2"/>
      <c r="BE25" s="22"/>
      <c r="BZ25" s="2"/>
    </row>
    <row r="26" spans="1:78" x14ac:dyDescent="0.2">
      <c r="A26">
        <f t="shared" si="5"/>
        <v>2009</v>
      </c>
      <c r="B26" s="2">
        <f t="shared" si="14"/>
        <v>0</v>
      </c>
      <c r="C26" s="2"/>
      <c r="D26" s="2">
        <f t="shared" si="15"/>
        <v>0</v>
      </c>
      <c r="E26" s="2">
        <f t="shared" si="16"/>
        <v>0</v>
      </c>
      <c r="F26" s="2"/>
      <c r="G26" s="2">
        <f t="shared" si="17"/>
        <v>0</v>
      </c>
      <c r="H26" s="2">
        <f t="shared" si="18"/>
        <v>79919.691402676923</v>
      </c>
      <c r="I26" s="2">
        <f t="shared" ref="I26:I31" si="30">SUM(B26:H26)</f>
        <v>79919.691402676923</v>
      </c>
      <c r="J26" s="2">
        <f t="shared" si="19"/>
        <v>-349.75380321557168</v>
      </c>
      <c r="K26" s="6">
        <f t="shared" si="20"/>
        <v>-4.3572470485929889E-3</v>
      </c>
      <c r="L26" s="7">
        <f t="shared" si="21"/>
        <v>0.99564275295140703</v>
      </c>
      <c r="N26">
        <f t="shared" si="6"/>
        <v>2009</v>
      </c>
      <c r="O26" s="2">
        <f t="shared" si="22"/>
        <v>4958.7504930000005</v>
      </c>
      <c r="P26" s="2"/>
      <c r="Q26" s="2"/>
      <c r="R26">
        <f t="shared" si="7"/>
        <v>2009</v>
      </c>
      <c r="S26" s="2">
        <v>0</v>
      </c>
      <c r="T26" s="2"/>
      <c r="U26" s="2">
        <v>0</v>
      </c>
      <c r="V26" s="2">
        <v>0</v>
      </c>
      <c r="W26" s="2"/>
      <c r="X26" s="2">
        <v>0</v>
      </c>
      <c r="Y26" s="2">
        <f>H26-($O26)</f>
        <v>74960.940909676923</v>
      </c>
      <c r="Z26" s="2">
        <f t="shared" ref="Z26:Z28" si="31">SUM(S26:Y26)</f>
        <v>74960.940909676923</v>
      </c>
      <c r="AA26" s="2">
        <f t="shared" si="23"/>
        <v>-484.8170462155831</v>
      </c>
      <c r="AB26" s="6">
        <f t="shared" si="24"/>
        <v>-6.426034535951238E-3</v>
      </c>
      <c r="AC26" s="7">
        <f t="shared" si="25"/>
        <v>0.99357396546404875</v>
      </c>
      <c r="AD26" s="2">
        <f t="shared" ref="AD26:AD33" si="32">Z26-(I26-O26)</f>
        <v>0</v>
      </c>
      <c r="AE26" s="2"/>
      <c r="AG26">
        <f t="shared" si="11"/>
        <v>2009</v>
      </c>
      <c r="AH26" s="6">
        <f t="shared" si="4"/>
        <v>0</v>
      </c>
      <c r="AI26" s="6"/>
      <c r="AJ26" s="6">
        <f t="shared" si="4"/>
        <v>0</v>
      </c>
      <c r="AK26" s="6">
        <f t="shared" si="4"/>
        <v>0</v>
      </c>
      <c r="AL26" s="6"/>
      <c r="AM26" s="6">
        <f t="shared" si="4"/>
        <v>0</v>
      </c>
      <c r="AN26" s="6">
        <f t="shared" si="4"/>
        <v>1</v>
      </c>
      <c r="AO26" s="55">
        <f t="shared" si="12"/>
        <v>1</v>
      </c>
      <c r="AP26" s="7">
        <f t="shared" si="26"/>
        <v>0</v>
      </c>
      <c r="AQ26" s="7">
        <f t="shared" si="27"/>
        <v>0</v>
      </c>
      <c r="AS26">
        <f t="shared" si="28"/>
        <v>2009</v>
      </c>
      <c r="AT26" s="24">
        <f>$Z26*AT$23</f>
        <v>14992.188181935386</v>
      </c>
      <c r="AU26" s="24"/>
      <c r="AV26" s="24">
        <f>$Z26*AV$23</f>
        <v>11244.141136451539</v>
      </c>
      <c r="AW26" s="24">
        <f>$Z26*AW$23</f>
        <v>7496.0940909676929</v>
      </c>
      <c r="AX26" s="24"/>
      <c r="AY26" s="24">
        <f>$Z26*AY$23</f>
        <v>11244.141136451539</v>
      </c>
      <c r="AZ26" s="24">
        <f>$Z26*AZ$23</f>
        <v>29984.376363870771</v>
      </c>
      <c r="BA26" s="2">
        <f t="shared" si="29"/>
        <v>74960.940909676923</v>
      </c>
      <c r="BB26" s="2">
        <f t="shared" si="13"/>
        <v>0</v>
      </c>
      <c r="BC26" s="2"/>
      <c r="BE26" s="22"/>
      <c r="BZ26" s="2"/>
    </row>
    <row r="27" spans="1:78" x14ac:dyDescent="0.2">
      <c r="A27">
        <f t="shared" si="5"/>
        <v>2010</v>
      </c>
      <c r="B27" s="2">
        <f t="shared" si="14"/>
        <v>17227.52343986195</v>
      </c>
      <c r="C27" s="2"/>
      <c r="D27" s="2">
        <f t="shared" si="15"/>
        <v>14106.899469792101</v>
      </c>
      <c r="E27" s="2">
        <f t="shared" si="16"/>
        <v>9574.0113729839377</v>
      </c>
      <c r="F27" s="2"/>
      <c r="G27" s="2">
        <f t="shared" si="17"/>
        <v>12494.48963082495</v>
      </c>
      <c r="H27" s="2">
        <f t="shared" si="18"/>
        <v>31909.373326431276</v>
      </c>
      <c r="I27" s="2">
        <f t="shared" si="30"/>
        <v>85312.297239894222</v>
      </c>
      <c r="J27" s="2">
        <f t="shared" si="19"/>
        <v>5392.6058372172993</v>
      </c>
      <c r="K27" s="6">
        <f t="shared" si="20"/>
        <v>6.7475308557518696E-2</v>
      </c>
      <c r="L27" s="7">
        <f t="shared" si="21"/>
        <v>1.0674753085575186</v>
      </c>
      <c r="N27">
        <f t="shared" si="6"/>
        <v>2010</v>
      </c>
      <c r="O27" s="2">
        <f t="shared" si="22"/>
        <v>5028.1729999020008</v>
      </c>
      <c r="P27" s="2"/>
      <c r="Q27" s="2"/>
      <c r="R27">
        <f t="shared" si="7"/>
        <v>2010</v>
      </c>
      <c r="S27" s="2">
        <f t="shared" si="8"/>
        <v>16221.888839881551</v>
      </c>
      <c r="T27" s="2"/>
      <c r="U27" s="2">
        <f t="shared" si="9"/>
        <v>13101.264869811701</v>
      </c>
      <c r="V27" s="2">
        <f t="shared" si="9"/>
        <v>8568.3767730035379</v>
      </c>
      <c r="W27" s="2"/>
      <c r="X27" s="2">
        <f t="shared" si="10"/>
        <v>11488.85503084455</v>
      </c>
      <c r="Y27" s="2">
        <f t="shared" si="10"/>
        <v>30903.738726450876</v>
      </c>
      <c r="Z27" s="2">
        <f t="shared" si="31"/>
        <v>80284.124239992219</v>
      </c>
      <c r="AA27" s="2">
        <f t="shared" si="23"/>
        <v>5323.1833303152962</v>
      </c>
      <c r="AB27" s="6">
        <f t="shared" si="24"/>
        <v>7.1012760321797277E-2</v>
      </c>
      <c r="AC27" s="7">
        <f t="shared" si="25"/>
        <v>1.0710127603217974</v>
      </c>
      <c r="AD27" s="2">
        <f t="shared" si="32"/>
        <v>0</v>
      </c>
      <c r="AE27" s="2"/>
      <c r="AG27">
        <f t="shared" si="11"/>
        <v>2010</v>
      </c>
      <c r="AH27" s="6">
        <f t="shared" si="4"/>
        <v>0.20205599791298318</v>
      </c>
      <c r="AI27" s="57"/>
      <c r="AJ27" s="6">
        <f t="shared" si="4"/>
        <v>0.16318624627016259</v>
      </c>
      <c r="AK27" s="6">
        <f t="shared" si="4"/>
        <v>0.10672566779691348</v>
      </c>
      <c r="AL27" s="6"/>
      <c r="AM27" s="6">
        <f t="shared" si="4"/>
        <v>0.14310245194306503</v>
      </c>
      <c r="AN27" s="6">
        <f t="shared" si="4"/>
        <v>0.38492963607687564</v>
      </c>
      <c r="AO27" s="55">
        <f t="shared" si="12"/>
        <v>1</v>
      </c>
      <c r="AP27" s="7">
        <f t="shared" si="26"/>
        <v>0.61507036392312431</v>
      </c>
      <c r="AQ27" s="7">
        <f t="shared" si="27"/>
        <v>0</v>
      </c>
      <c r="AS27">
        <f t="shared" si="28"/>
        <v>2010</v>
      </c>
      <c r="AT27" s="2">
        <f t="shared" ref="AT27:AT33" si="33">S27</f>
        <v>16221.888839881551</v>
      </c>
      <c r="AU27" s="2"/>
      <c r="AV27" s="2">
        <f t="shared" ref="AV27:AW33" si="34">U27</f>
        <v>13101.264869811701</v>
      </c>
      <c r="AW27" s="2">
        <f t="shared" si="34"/>
        <v>8568.3767730035379</v>
      </c>
      <c r="AX27" s="2"/>
      <c r="AY27" s="2">
        <f t="shared" ref="AY27:AZ33" si="35">X27</f>
        <v>11488.85503084455</v>
      </c>
      <c r="AZ27" s="2">
        <f t="shared" si="35"/>
        <v>30903.738726450876</v>
      </c>
      <c r="BA27" s="2">
        <f t="shared" si="29"/>
        <v>80284.124239992219</v>
      </c>
      <c r="BB27" s="2">
        <f t="shared" si="13"/>
        <v>0</v>
      </c>
      <c r="BC27" s="2"/>
      <c r="BE27" s="22"/>
      <c r="BZ27" s="2"/>
    </row>
    <row r="28" spans="1:78" x14ac:dyDescent="0.2">
      <c r="A28">
        <f t="shared" si="5"/>
        <v>2011</v>
      </c>
      <c r="B28" s="2">
        <f t="shared" si="14"/>
        <v>16541.460050027217</v>
      </c>
      <c r="C28" s="2"/>
      <c r="D28" s="2">
        <f t="shared" si="15"/>
        <v>12824.828181058674</v>
      </c>
      <c r="E28" s="2">
        <f t="shared" si="16"/>
        <v>8328.4622233594382</v>
      </c>
      <c r="F28" s="2"/>
      <c r="G28" s="2">
        <f t="shared" si="17"/>
        <v>9816.0777383535842</v>
      </c>
      <c r="H28" s="2">
        <f t="shared" si="18"/>
        <v>33240.061374170567</v>
      </c>
      <c r="I28" s="2">
        <f t="shared" si="30"/>
        <v>80750.889566969476</v>
      </c>
      <c r="J28" s="2">
        <f t="shared" si="19"/>
        <v>-4561.4076729247463</v>
      </c>
      <c r="K28" s="6">
        <f t="shared" si="20"/>
        <v>-5.3467176720119018E-2</v>
      </c>
      <c r="L28" s="7">
        <f t="shared" si="21"/>
        <v>0.94653282327988097</v>
      </c>
      <c r="N28">
        <f t="shared" si="6"/>
        <v>2011</v>
      </c>
      <c r="O28" s="2">
        <f t="shared" si="22"/>
        <v>5179.0181898990613</v>
      </c>
      <c r="P28" s="2"/>
      <c r="Q28" s="2"/>
      <c r="R28">
        <f t="shared" si="7"/>
        <v>2011</v>
      </c>
      <c r="S28" s="2">
        <f t="shared" si="8"/>
        <v>15505.656412047405</v>
      </c>
      <c r="T28" s="2"/>
      <c r="U28" s="2">
        <f t="shared" si="9"/>
        <v>11789.024543078862</v>
      </c>
      <c r="V28" s="2">
        <f t="shared" si="9"/>
        <v>7292.6585853796259</v>
      </c>
      <c r="W28" s="2"/>
      <c r="X28" s="2">
        <f t="shared" si="10"/>
        <v>8780.2741003737719</v>
      </c>
      <c r="Y28" s="2">
        <f t="shared" si="10"/>
        <v>32204.257736190753</v>
      </c>
      <c r="Z28" s="2">
        <f t="shared" si="31"/>
        <v>75571.871377070405</v>
      </c>
      <c r="AA28" s="2">
        <f t="shared" si="23"/>
        <v>-4712.2528629218141</v>
      </c>
      <c r="AB28" s="6">
        <f t="shared" si="24"/>
        <v>-5.8694703436454533E-2</v>
      </c>
      <c r="AC28" s="7">
        <f t="shared" si="25"/>
        <v>0.94130529656354545</v>
      </c>
      <c r="AD28" s="2">
        <f t="shared" si="32"/>
        <v>0</v>
      </c>
      <c r="AE28" s="2"/>
      <c r="AG28">
        <f t="shared" si="11"/>
        <v>2011</v>
      </c>
      <c r="AH28" s="6">
        <f t="shared" si="4"/>
        <v>0.20517761608258975</v>
      </c>
      <c r="AI28" s="57"/>
      <c r="AJ28" s="6">
        <f t="shared" si="4"/>
        <v>0.15599752035061848</v>
      </c>
      <c r="AK28" s="6">
        <f t="shared" si="4"/>
        <v>9.6499642691028079E-2</v>
      </c>
      <c r="AL28" s="57"/>
      <c r="AM28" s="6">
        <f t="shared" si="4"/>
        <v>0.1161844207425282</v>
      </c>
      <c r="AN28" s="6">
        <f t="shared" si="4"/>
        <v>0.42614080013323569</v>
      </c>
      <c r="AO28" s="55">
        <f t="shared" si="12"/>
        <v>1.0000000000000002</v>
      </c>
      <c r="AP28" s="7">
        <f t="shared" si="26"/>
        <v>0.57385919986676448</v>
      </c>
      <c r="AQ28" s="7">
        <f t="shared" si="27"/>
        <v>0</v>
      </c>
      <c r="AS28">
        <f t="shared" si="28"/>
        <v>2011</v>
      </c>
      <c r="AT28" s="2">
        <f t="shared" si="33"/>
        <v>15505.656412047405</v>
      </c>
      <c r="AU28" s="2"/>
      <c r="AV28" s="2">
        <f t="shared" si="34"/>
        <v>11789.024543078862</v>
      </c>
      <c r="AW28" s="2">
        <f t="shared" si="34"/>
        <v>7292.6585853796259</v>
      </c>
      <c r="AX28" s="2"/>
      <c r="AY28" s="2">
        <f t="shared" si="35"/>
        <v>8780.2741003737719</v>
      </c>
      <c r="AZ28" s="2">
        <f t="shared" si="35"/>
        <v>32204.257736190753</v>
      </c>
      <c r="BA28" s="2">
        <f t="shared" si="29"/>
        <v>75571.871377070405</v>
      </c>
      <c r="BB28" s="2">
        <f t="shared" si="13"/>
        <v>0</v>
      </c>
      <c r="BC28" s="2"/>
      <c r="BE28" s="22"/>
      <c r="BZ28" s="2"/>
    </row>
    <row r="29" spans="1:78" x14ac:dyDescent="0.2">
      <c r="A29">
        <f t="shared" si="5"/>
        <v>2012</v>
      </c>
      <c r="B29" s="2">
        <f t="shared" si="14"/>
        <v>17958.651256433302</v>
      </c>
      <c r="C29" s="2"/>
      <c r="D29" s="2">
        <f t="shared" si="15"/>
        <v>13651.690420885321</v>
      </c>
      <c r="E29" s="2">
        <f t="shared" si="16"/>
        <v>8608.254194182111</v>
      </c>
      <c r="F29" s="2"/>
      <c r="G29" s="2">
        <f t="shared" si="17"/>
        <v>10373.015822181575</v>
      </c>
      <c r="H29" s="2">
        <f t="shared" si="18"/>
        <v>33508.530174506479</v>
      </c>
      <c r="I29" s="2">
        <f t="shared" si="30"/>
        <v>84100.141868188788</v>
      </c>
      <c r="J29" s="2">
        <f t="shared" si="19"/>
        <v>3349.2523012193124</v>
      </c>
      <c r="K29" s="6">
        <f t="shared" si="20"/>
        <v>4.1476351767514123E-2</v>
      </c>
      <c r="L29" s="7">
        <f t="shared" si="21"/>
        <v>1.0414763517675141</v>
      </c>
      <c r="N29">
        <f t="shared" si="6"/>
        <v>2012</v>
      </c>
      <c r="O29" s="2">
        <f t="shared" si="22"/>
        <v>5272.2405173172447</v>
      </c>
      <c r="P29" s="2"/>
      <c r="Q29" s="2"/>
      <c r="R29">
        <f t="shared" si="7"/>
        <v>2012</v>
      </c>
      <c r="S29" s="2">
        <f t="shared" si="8"/>
        <v>16904.203152969854</v>
      </c>
      <c r="T29" s="2"/>
      <c r="U29" s="2">
        <f t="shared" si="9"/>
        <v>12597.242317421873</v>
      </c>
      <c r="V29" s="2">
        <f t="shared" si="9"/>
        <v>7553.8060907186618</v>
      </c>
      <c r="W29" s="2"/>
      <c r="X29" s="2">
        <f t="shared" si="10"/>
        <v>9318.5677187181263</v>
      </c>
      <c r="Y29" s="2">
        <f t="shared" si="10"/>
        <v>32454.082071043031</v>
      </c>
      <c r="Z29" s="2">
        <f t="shared" ref="Z29:Z33" si="36">SUM(S29:Y29)</f>
        <v>78827.901350871543</v>
      </c>
      <c r="AA29" s="2">
        <f t="shared" si="23"/>
        <v>3256.0299738011381</v>
      </c>
      <c r="AB29" s="6">
        <f t="shared" si="24"/>
        <v>4.30852103364621E-2</v>
      </c>
      <c r="AC29" s="7">
        <f t="shared" si="25"/>
        <v>1.0430852103364621</v>
      </c>
      <c r="AD29" s="2">
        <f t="shared" si="32"/>
        <v>0</v>
      </c>
      <c r="AE29" s="2"/>
      <c r="AG29">
        <f t="shared" si="11"/>
        <v>2012</v>
      </c>
      <c r="AH29" s="6">
        <f t="shared" si="4"/>
        <v>0.2144444145192628</v>
      </c>
      <c r="AI29" s="57"/>
      <c r="AJ29" s="6">
        <f t="shared" si="4"/>
        <v>0.15980689706998769</v>
      </c>
      <c r="AK29" s="6">
        <f t="shared" si="4"/>
        <v>9.5826553304975748E-2</v>
      </c>
      <c r="AL29" s="57"/>
      <c r="AM29" s="6">
        <f t="shared" si="4"/>
        <v>0.1182140785055303</v>
      </c>
      <c r="AN29" s="6">
        <f t="shared" si="4"/>
        <v>0.41170805660024345</v>
      </c>
      <c r="AO29" s="55">
        <f t="shared" si="12"/>
        <v>1</v>
      </c>
      <c r="AP29" s="7">
        <f t="shared" si="26"/>
        <v>0.58829194339975655</v>
      </c>
      <c r="AQ29" s="7">
        <f t="shared" si="27"/>
        <v>0</v>
      </c>
      <c r="AS29">
        <f t="shared" si="28"/>
        <v>2012</v>
      </c>
      <c r="AT29" s="2">
        <f t="shared" si="33"/>
        <v>16904.203152969854</v>
      </c>
      <c r="AU29" s="2"/>
      <c r="AV29" s="2">
        <f t="shared" si="34"/>
        <v>12597.242317421873</v>
      </c>
      <c r="AW29" s="2">
        <f t="shared" si="34"/>
        <v>7553.8060907186618</v>
      </c>
      <c r="AX29" s="2"/>
      <c r="AY29" s="2">
        <f t="shared" si="35"/>
        <v>9318.5677187181263</v>
      </c>
      <c r="AZ29" s="2">
        <f t="shared" si="35"/>
        <v>32454.082071043031</v>
      </c>
      <c r="BA29" s="2">
        <f t="shared" si="29"/>
        <v>78827.901350871543</v>
      </c>
      <c r="BB29" s="2">
        <f t="shared" si="13"/>
        <v>0</v>
      </c>
      <c r="BC29" s="2"/>
      <c r="BE29" s="22"/>
      <c r="BZ29" s="2"/>
    </row>
    <row r="30" spans="1:78" x14ac:dyDescent="0.2">
      <c r="A30">
        <f t="shared" si="5"/>
        <v>2013</v>
      </c>
      <c r="B30" s="2">
        <f t="shared" si="14"/>
        <v>22343.975727595556</v>
      </c>
      <c r="C30" s="2"/>
      <c r="D30" s="2">
        <f t="shared" si="15"/>
        <v>17006.27712851953</v>
      </c>
      <c r="E30" s="2">
        <f t="shared" si="16"/>
        <v>10395.547942047022</v>
      </c>
      <c r="F30" s="2"/>
      <c r="G30" s="2">
        <f t="shared" si="17"/>
        <v>10720.080303613331</v>
      </c>
      <c r="H30" s="2">
        <f t="shared" si="18"/>
        <v>31720.61981623746</v>
      </c>
      <c r="I30" s="2">
        <f t="shared" si="30"/>
        <v>92186.500918012898</v>
      </c>
      <c r="J30" s="2">
        <f t="shared" si="19"/>
        <v>8086.3590498241101</v>
      </c>
      <c r="K30" s="6">
        <f t="shared" si="20"/>
        <v>9.615155064182844E-2</v>
      </c>
      <c r="L30" s="7">
        <f t="shared" si="21"/>
        <v>1.0961515506418285</v>
      </c>
      <c r="N30">
        <f t="shared" si="6"/>
        <v>2013</v>
      </c>
      <c r="O30" s="2">
        <f t="shared" si="22"/>
        <v>5333.1660914215818</v>
      </c>
      <c r="P30" s="2"/>
      <c r="Q30" s="2"/>
      <c r="R30">
        <f t="shared" si="7"/>
        <v>2013</v>
      </c>
      <c r="S30" s="2">
        <f t="shared" si="8"/>
        <v>21277.342509311238</v>
      </c>
      <c r="T30" s="2"/>
      <c r="U30" s="2">
        <f t="shared" si="9"/>
        <v>15939.643910235214</v>
      </c>
      <c r="V30" s="2">
        <f t="shared" si="9"/>
        <v>9328.9147237627058</v>
      </c>
      <c r="W30" s="2"/>
      <c r="X30" s="2">
        <f t="shared" si="10"/>
        <v>9653.447085329015</v>
      </c>
      <c r="Y30" s="2">
        <f t="shared" si="10"/>
        <v>30653.986597953142</v>
      </c>
      <c r="Z30" s="2">
        <f t="shared" si="36"/>
        <v>86853.334826591323</v>
      </c>
      <c r="AA30" s="2">
        <f t="shared" si="23"/>
        <v>8025.4334757197794</v>
      </c>
      <c r="AB30" s="6">
        <f t="shared" si="24"/>
        <v>0.10180955395473112</v>
      </c>
      <c r="AC30" s="7">
        <f t="shared" si="25"/>
        <v>1.1018095539547312</v>
      </c>
      <c r="AD30" s="2">
        <f t="shared" si="32"/>
        <v>0</v>
      </c>
      <c r="AE30" s="2"/>
      <c r="AG30">
        <f t="shared" si="11"/>
        <v>2013</v>
      </c>
      <c r="AH30" s="6">
        <f t="shared" si="4"/>
        <v>0.24498014442154606</v>
      </c>
      <c r="AI30" s="57"/>
      <c r="AJ30" s="6">
        <f t="shared" si="4"/>
        <v>0.18352368325361154</v>
      </c>
      <c r="AK30" s="6">
        <f t="shared" si="4"/>
        <v>0.10740997731852815</v>
      </c>
      <c r="AL30" s="57"/>
      <c r="AM30" s="6">
        <f t="shared" si="4"/>
        <v>0.11114653345899485</v>
      </c>
      <c r="AN30" s="6">
        <f t="shared" si="4"/>
        <v>0.35293966154731932</v>
      </c>
      <c r="AO30" s="55">
        <f t="shared" si="12"/>
        <v>1</v>
      </c>
      <c r="AP30" s="7">
        <f t="shared" si="26"/>
        <v>0.64706033845268063</v>
      </c>
      <c r="AQ30" s="7">
        <f t="shared" si="27"/>
        <v>0</v>
      </c>
      <c r="AS30">
        <f t="shared" si="28"/>
        <v>2013</v>
      </c>
      <c r="AT30" s="2">
        <f t="shared" si="33"/>
        <v>21277.342509311238</v>
      </c>
      <c r="AU30" s="2"/>
      <c r="AV30" s="2">
        <f t="shared" si="34"/>
        <v>15939.643910235214</v>
      </c>
      <c r="AW30" s="2">
        <f t="shared" si="34"/>
        <v>9328.9147237627058</v>
      </c>
      <c r="AX30" s="2"/>
      <c r="AY30" s="2">
        <f t="shared" si="35"/>
        <v>9653.447085329015</v>
      </c>
      <c r="AZ30" s="2">
        <f t="shared" si="35"/>
        <v>30653.986597953142</v>
      </c>
      <c r="BA30" s="2">
        <f t="shared" si="29"/>
        <v>86853.334826591323</v>
      </c>
      <c r="BB30" s="2">
        <f t="shared" si="13"/>
        <v>0</v>
      </c>
      <c r="BC30" s="2"/>
      <c r="BE30" s="22"/>
      <c r="BZ30" s="2"/>
    </row>
    <row r="31" spans="1:78" x14ac:dyDescent="0.2">
      <c r="A31">
        <f t="shared" si="5"/>
        <v>2014</v>
      </c>
      <c r="B31" s="2">
        <f t="shared" si="14"/>
        <v>24151.911482319185</v>
      </c>
      <c r="C31" s="2"/>
      <c r="D31" s="2">
        <f t="shared" si="15"/>
        <v>18107.435482027206</v>
      </c>
      <c r="E31" s="2">
        <f t="shared" si="16"/>
        <v>10016.455738904018</v>
      </c>
      <c r="F31" s="2"/>
      <c r="G31" s="2">
        <f t="shared" si="17"/>
        <v>9244.1409289110652</v>
      </c>
      <c r="H31" s="2">
        <f t="shared" si="18"/>
        <v>32419.656225995248</v>
      </c>
      <c r="I31" s="2">
        <f t="shared" si="30"/>
        <v>93939.599858156726</v>
      </c>
      <c r="J31" s="2">
        <f t="shared" si="19"/>
        <v>1753.0989401438273</v>
      </c>
      <c r="K31" s="6">
        <f t="shared" si="20"/>
        <v>1.9016872564704083E-2</v>
      </c>
      <c r="L31" s="7">
        <f t="shared" si="21"/>
        <v>1.0190168725647042</v>
      </c>
      <c r="N31">
        <f t="shared" si="6"/>
        <v>2014</v>
      </c>
      <c r="O31" s="2">
        <f t="shared" si="22"/>
        <v>5401.9639340009198</v>
      </c>
      <c r="P31" s="2"/>
      <c r="Q31" s="2"/>
      <c r="R31">
        <f t="shared" si="7"/>
        <v>2014</v>
      </c>
      <c r="S31" s="2">
        <f t="shared" si="8"/>
        <v>23071.518695519</v>
      </c>
      <c r="T31" s="2"/>
      <c r="U31" s="2">
        <f t="shared" si="9"/>
        <v>17027.042695227021</v>
      </c>
      <c r="V31" s="2">
        <f t="shared" si="9"/>
        <v>8936.0629521038336</v>
      </c>
      <c r="W31" s="2"/>
      <c r="X31" s="2">
        <f t="shared" si="10"/>
        <v>8163.7481421108814</v>
      </c>
      <c r="Y31" s="2">
        <f t="shared" si="10"/>
        <v>31339.263439195063</v>
      </c>
      <c r="Z31" s="2">
        <f t="shared" si="36"/>
        <v>88537.635924155795</v>
      </c>
      <c r="AA31" s="2">
        <f t="shared" si="23"/>
        <v>1684.301097564472</v>
      </c>
      <c r="AB31" s="6">
        <f t="shared" si="24"/>
        <v>1.9392474692276299E-2</v>
      </c>
      <c r="AC31" s="7">
        <f t="shared" si="25"/>
        <v>1.0193924746922762</v>
      </c>
      <c r="AD31" s="2">
        <f t="shared" si="32"/>
        <v>0</v>
      </c>
      <c r="AE31" s="2"/>
      <c r="AG31">
        <f t="shared" si="11"/>
        <v>2014</v>
      </c>
      <c r="AH31" s="6">
        <f t="shared" si="4"/>
        <v>0.26058430920024578</v>
      </c>
      <c r="AI31" s="57"/>
      <c r="AJ31" s="6">
        <f t="shared" si="4"/>
        <v>0.19231417823052038</v>
      </c>
      <c r="AK31" s="6">
        <f t="shared" si="4"/>
        <v>0.10092954096672238</v>
      </c>
      <c r="AL31" s="57"/>
      <c r="AM31" s="6">
        <f t="shared" si="4"/>
        <v>9.2206529538514131E-2</v>
      </c>
      <c r="AN31" s="6">
        <f t="shared" si="4"/>
        <v>0.35396544206399738</v>
      </c>
      <c r="AO31" s="55">
        <f t="shared" si="12"/>
        <v>1</v>
      </c>
      <c r="AP31" s="7">
        <f t="shared" si="26"/>
        <v>0.64603455793600273</v>
      </c>
      <c r="AQ31" s="7">
        <f t="shared" si="27"/>
        <v>0</v>
      </c>
      <c r="AS31">
        <f t="shared" si="28"/>
        <v>2014</v>
      </c>
      <c r="AT31" s="2">
        <f t="shared" si="33"/>
        <v>23071.518695519</v>
      </c>
      <c r="AU31" s="2"/>
      <c r="AV31" s="2">
        <f t="shared" si="34"/>
        <v>17027.042695227021</v>
      </c>
      <c r="AW31" s="2">
        <f t="shared" si="34"/>
        <v>8936.0629521038336</v>
      </c>
      <c r="AX31" s="2"/>
      <c r="AY31" s="2">
        <f t="shared" si="35"/>
        <v>8163.7481421108814</v>
      </c>
      <c r="AZ31" s="2">
        <f t="shared" si="35"/>
        <v>31339.263439195063</v>
      </c>
      <c r="BA31" s="2">
        <f t="shared" si="29"/>
        <v>88537.635924155795</v>
      </c>
      <c r="BB31" s="2">
        <f t="shared" si="13"/>
        <v>0</v>
      </c>
      <c r="BC31" s="2"/>
      <c r="BE31" s="22"/>
      <c r="BZ31" s="2"/>
    </row>
    <row r="32" spans="1:78" x14ac:dyDescent="0.2">
      <c r="A32">
        <f t="shared" si="5"/>
        <v>2015</v>
      </c>
      <c r="B32" s="2">
        <f t="shared" si="14"/>
        <v>23359.912679212986</v>
      </c>
      <c r="C32" s="2"/>
      <c r="D32" s="2">
        <f t="shared" si="15"/>
        <v>16778.447871876706</v>
      </c>
      <c r="E32" s="2">
        <f t="shared" si="16"/>
        <v>8598.2797725143082</v>
      </c>
      <c r="F32" s="2"/>
      <c r="G32" s="2">
        <f t="shared" si="17"/>
        <v>7806.992348300636</v>
      </c>
      <c r="H32" s="2">
        <f t="shared" si="18"/>
        <v>31433.281229512646</v>
      </c>
      <c r="I32" s="2">
        <f t="shared" ref="I32:I33" si="37">SUM(B32:H32)</f>
        <v>87976.913901417283</v>
      </c>
      <c r="J32" s="2">
        <f t="shared" si="19"/>
        <v>-5962.6859567394422</v>
      </c>
      <c r="K32" s="6">
        <f t="shared" si="20"/>
        <v>-6.3473614596429487E-2</v>
      </c>
      <c r="L32" s="7">
        <f t="shared" si="21"/>
        <v>0.93652638540357047</v>
      </c>
      <c r="N32">
        <f t="shared" si="6"/>
        <v>2015</v>
      </c>
      <c r="O32" s="2">
        <f t="shared" si="22"/>
        <v>5425.7325753105233</v>
      </c>
      <c r="P32" s="2"/>
      <c r="Q32" s="2"/>
      <c r="R32">
        <f t="shared" si="7"/>
        <v>2015</v>
      </c>
      <c r="S32" s="2">
        <f t="shared" si="8"/>
        <v>22274.766164150882</v>
      </c>
      <c r="T32" s="2"/>
      <c r="U32" s="2">
        <f t="shared" si="9"/>
        <v>15693.301356814602</v>
      </c>
      <c r="V32" s="2">
        <f t="shared" si="9"/>
        <v>7513.1332574522039</v>
      </c>
      <c r="W32" s="2"/>
      <c r="X32" s="2">
        <f t="shared" si="10"/>
        <v>6721.8458332385308</v>
      </c>
      <c r="Y32" s="2">
        <f t="shared" si="10"/>
        <v>30348.134714450542</v>
      </c>
      <c r="Z32" s="2">
        <f t="shared" si="36"/>
        <v>82551.181326106758</v>
      </c>
      <c r="AA32" s="2">
        <f t="shared" si="23"/>
        <v>-5986.4545980490366</v>
      </c>
      <c r="AB32" s="6">
        <f t="shared" si="24"/>
        <v>-6.7614800593695859E-2</v>
      </c>
      <c r="AC32" s="7">
        <f t="shared" si="25"/>
        <v>0.93238519940630415</v>
      </c>
      <c r="AD32" s="2">
        <f t="shared" si="32"/>
        <v>0</v>
      </c>
      <c r="AE32" s="2"/>
      <c r="AG32">
        <f t="shared" si="11"/>
        <v>2015</v>
      </c>
      <c r="AH32" s="6">
        <f t="shared" si="4"/>
        <v>0.2698297687123043</v>
      </c>
      <c r="AI32" s="57"/>
      <c r="AJ32" s="6">
        <f t="shared" si="4"/>
        <v>0.19010389802685482</v>
      </c>
      <c r="AK32" s="6">
        <f t="shared" si="4"/>
        <v>9.1011820021964729E-2</v>
      </c>
      <c r="AL32" s="57"/>
      <c r="AM32" s="6">
        <f t="shared" si="4"/>
        <v>8.1426403901899716E-2</v>
      </c>
      <c r="AN32" s="6">
        <f t="shared" si="4"/>
        <v>0.36762810933697643</v>
      </c>
      <c r="AO32" s="55">
        <f t="shared" si="12"/>
        <v>1</v>
      </c>
      <c r="AP32" s="7">
        <f t="shared" si="26"/>
        <v>0.63237189066302357</v>
      </c>
      <c r="AQ32" s="7">
        <f t="shared" si="27"/>
        <v>0</v>
      </c>
      <c r="AS32">
        <f t="shared" si="28"/>
        <v>2015</v>
      </c>
      <c r="AT32" s="2">
        <f t="shared" si="33"/>
        <v>22274.766164150882</v>
      </c>
      <c r="AU32" s="2"/>
      <c r="AV32" s="2">
        <f t="shared" si="34"/>
        <v>15693.301356814602</v>
      </c>
      <c r="AW32" s="2">
        <f t="shared" si="34"/>
        <v>7513.1332574522039</v>
      </c>
      <c r="AX32" s="2"/>
      <c r="AY32" s="2">
        <f t="shared" si="35"/>
        <v>6721.8458332385308</v>
      </c>
      <c r="AZ32" s="2">
        <f t="shared" si="35"/>
        <v>30348.134714450542</v>
      </c>
      <c r="BA32" s="2">
        <f t="shared" si="29"/>
        <v>82551.181326106758</v>
      </c>
      <c r="BB32" s="2">
        <f t="shared" si="13"/>
        <v>0</v>
      </c>
      <c r="BC32" s="2"/>
      <c r="BE32" s="22"/>
      <c r="BZ32" s="2"/>
    </row>
    <row r="33" spans="1:78" x14ac:dyDescent="0.2">
      <c r="A33">
        <f t="shared" si="5"/>
        <v>2016</v>
      </c>
      <c r="B33" s="2">
        <f t="shared" si="14"/>
        <v>24907.643524753519</v>
      </c>
      <c r="C33" s="2"/>
      <c r="D33" s="2">
        <f t="shared" si="15"/>
        <v>17430.54981701398</v>
      </c>
      <c r="E33" s="2">
        <f t="shared" si="16"/>
        <v>8878.2695703312693</v>
      </c>
      <c r="F33" s="2"/>
      <c r="G33" s="2">
        <f t="shared" si="17"/>
        <v>7034.4116644841224</v>
      </c>
      <c r="H33" s="2">
        <f t="shared" si="18"/>
        <v>31106.838082311802</v>
      </c>
      <c r="I33" s="2">
        <f t="shared" si="37"/>
        <v>89357.712658894699</v>
      </c>
      <c r="J33" s="2">
        <f t="shared" si="19"/>
        <v>1380.7987574774161</v>
      </c>
      <c r="K33" s="6">
        <f t="shared" si="20"/>
        <v>1.5695012432746538E-2</v>
      </c>
      <c r="L33" s="7">
        <f t="shared" si="21"/>
        <v>1.0156950124327466</v>
      </c>
      <c r="N33">
        <f t="shared" si="6"/>
        <v>2016</v>
      </c>
      <c r="O33" s="2">
        <f t="shared" si="22"/>
        <v>5517.9700290908013</v>
      </c>
      <c r="P33" s="2"/>
      <c r="Q33" s="2"/>
      <c r="R33">
        <f t="shared" si="7"/>
        <v>2016</v>
      </c>
      <c r="S33" s="2">
        <f t="shared" si="8"/>
        <v>23804.049518935361</v>
      </c>
      <c r="T33" s="2"/>
      <c r="U33" s="2">
        <f t="shared" si="9"/>
        <v>16326.955811195819</v>
      </c>
      <c r="V33" s="2">
        <f t="shared" si="9"/>
        <v>7774.6755645131088</v>
      </c>
      <c r="W33" s="2"/>
      <c r="X33" s="2">
        <f t="shared" si="10"/>
        <v>5930.817658665962</v>
      </c>
      <c r="Y33" s="2">
        <f t="shared" si="10"/>
        <v>30003.244076493644</v>
      </c>
      <c r="Z33" s="2">
        <f t="shared" si="36"/>
        <v>83839.742629803892</v>
      </c>
      <c r="AA33" s="2">
        <f t="shared" si="23"/>
        <v>1288.5613036971336</v>
      </c>
      <c r="AB33" s="6">
        <f t="shared" si="24"/>
        <v>1.560924123674081E-2</v>
      </c>
      <c r="AC33" s="7">
        <f t="shared" si="25"/>
        <v>1.0156092412367408</v>
      </c>
      <c r="AD33" s="2">
        <f t="shared" si="32"/>
        <v>0</v>
      </c>
      <c r="AE33" s="2"/>
      <c r="AG33">
        <f t="shared" si="11"/>
        <v>2016</v>
      </c>
      <c r="AH33" s="6">
        <f t="shared" si="4"/>
        <v>0.28392321794262454</v>
      </c>
      <c r="AI33" s="57"/>
      <c r="AJ33" s="6">
        <f t="shared" si="4"/>
        <v>0.19474005166365824</v>
      </c>
      <c r="AK33" s="6">
        <f t="shared" si="4"/>
        <v>9.2732579092499712E-2</v>
      </c>
      <c r="AL33" s="57"/>
      <c r="AM33" s="6">
        <f t="shared" si="4"/>
        <v>7.0739931596088143E-2</v>
      </c>
      <c r="AN33" s="6">
        <f t="shared" si="4"/>
        <v>0.35786421970512938</v>
      </c>
      <c r="AO33" s="55">
        <f t="shared" si="12"/>
        <v>1</v>
      </c>
      <c r="AP33" s="7">
        <f t="shared" si="26"/>
        <v>0.64213578029487062</v>
      </c>
      <c r="AQ33" s="7">
        <f t="shared" si="27"/>
        <v>0</v>
      </c>
      <c r="AS33">
        <f t="shared" si="28"/>
        <v>2016</v>
      </c>
      <c r="AT33" s="2">
        <f t="shared" si="33"/>
        <v>23804.049518935361</v>
      </c>
      <c r="AU33" s="2"/>
      <c r="AV33" s="2">
        <f t="shared" si="34"/>
        <v>16326.955811195819</v>
      </c>
      <c r="AW33" s="2">
        <f t="shared" si="34"/>
        <v>7774.6755645131088</v>
      </c>
      <c r="AX33" s="2"/>
      <c r="AY33" s="2">
        <f t="shared" si="35"/>
        <v>5930.817658665962</v>
      </c>
      <c r="AZ33" s="2">
        <f t="shared" si="35"/>
        <v>30003.244076493644</v>
      </c>
      <c r="BA33" s="2">
        <f t="shared" si="29"/>
        <v>83839.742629803892</v>
      </c>
      <c r="BB33" s="2">
        <f t="shared" si="13"/>
        <v>0</v>
      </c>
      <c r="BC33" s="2"/>
      <c r="BE33" s="22"/>
      <c r="BZ33" s="2"/>
    </row>
    <row r="34" spans="1:78" x14ac:dyDescent="0.2">
      <c r="A34">
        <f t="shared" si="5"/>
        <v>2017</v>
      </c>
      <c r="B34" s="2">
        <f t="shared" si="14"/>
        <v>28962.387049688652</v>
      </c>
      <c r="C34" s="2"/>
      <c r="D34" s="2">
        <f t="shared" si="15"/>
        <v>19527.039150190198</v>
      </c>
      <c r="E34" s="2">
        <f t="shared" si="16"/>
        <v>9026.3983303997193</v>
      </c>
      <c r="F34" s="2"/>
      <c r="G34" s="2">
        <f t="shared" si="17"/>
        <v>7555.8616971404354</v>
      </c>
      <c r="H34" s="2">
        <f t="shared" si="18"/>
        <v>31041.356321540323</v>
      </c>
      <c r="I34" s="2">
        <f t="shared" ref="I34:I35" si="38">SUM(B34:H34)</f>
        <v>96113.042548959318</v>
      </c>
      <c r="J34" s="2">
        <f t="shared" ref="J34:J35" si="39">I34-I33</f>
        <v>6755.3298900646187</v>
      </c>
      <c r="K34" s="6">
        <f t="shared" ref="K34:K35" si="40">(J34/I33)</f>
        <v>7.5598733327605944E-2</v>
      </c>
      <c r="L34" s="7">
        <f t="shared" ref="L34:L35" si="41">K34+1</f>
        <v>1.075598733327606</v>
      </c>
      <c r="N34">
        <f t="shared" ref="N34:N35" si="42">A34</f>
        <v>2017</v>
      </c>
      <c r="O34" s="2">
        <f t="shared" si="22"/>
        <v>5641.0207607395259</v>
      </c>
      <c r="P34" s="2"/>
      <c r="Q34" s="2"/>
      <c r="R34">
        <f t="shared" ref="R34:R35" si="43">A34</f>
        <v>2017</v>
      </c>
      <c r="S34" s="2">
        <f t="shared" ref="S34:S35" si="44">B34-($O34/5)</f>
        <v>27834.182897540748</v>
      </c>
      <c r="T34" s="2"/>
      <c r="U34" s="2">
        <f t="shared" ref="U34:U35" si="45">D34-($O34/5)</f>
        <v>18398.834998042294</v>
      </c>
      <c r="V34" s="2">
        <f t="shared" ref="V34:V35" si="46">E34-($O34/5)</f>
        <v>7898.1941782518143</v>
      </c>
      <c r="W34" s="2"/>
      <c r="X34" s="2">
        <f t="shared" ref="X34:X35" si="47">G34-($O34/5)</f>
        <v>6427.6575449925303</v>
      </c>
      <c r="Y34" s="2">
        <f t="shared" ref="Y34:Y35" si="48">H34-($O34/5)</f>
        <v>29913.152169392419</v>
      </c>
      <c r="Z34" s="2">
        <f t="shared" ref="Z34:Z35" si="49">SUM(S34:Y34)</f>
        <v>90472.021788219805</v>
      </c>
      <c r="AA34" s="2">
        <f t="shared" ref="AA34:AA35" si="50">Z34-Z33</f>
        <v>6632.2791584159131</v>
      </c>
      <c r="AB34" s="6">
        <f t="shared" ref="AB34:AB35" si="51">(AA34/Z33)</f>
        <v>7.9106625931580896E-2</v>
      </c>
      <c r="AC34" s="7">
        <f t="shared" ref="AC34:AC35" si="52">AB34+1</f>
        <v>1.0791066259315809</v>
      </c>
      <c r="AD34" s="2">
        <f t="shared" ref="AD34:AD35" si="53">Z34-(I34-O34)</f>
        <v>0</v>
      </c>
      <c r="AE34" s="2"/>
      <c r="AG34">
        <f t="shared" ref="AG34:AG35" si="54">A34</f>
        <v>2017</v>
      </c>
      <c r="AH34" s="6">
        <f t="shared" ref="AH34:AH35" si="55">S34/$Z34</f>
        <v>0.30765514406979888</v>
      </c>
      <c r="AI34" s="57"/>
      <c r="AJ34" s="6">
        <f t="shared" ref="AJ34:AJ35" si="56">U34/$Z34</f>
        <v>0.20336491474801963</v>
      </c>
      <c r="AK34" s="6">
        <f t="shared" ref="AK34:AK35" si="57">V34/$Z34</f>
        <v>8.7299852729501221E-2</v>
      </c>
      <c r="AL34" s="57"/>
      <c r="AM34" s="6">
        <f t="shared" ref="AM34:AM35" si="58">X34/$Z34</f>
        <v>7.1045804193904549E-2</v>
      </c>
      <c r="AN34" s="6">
        <f t="shared" ref="AN34:AN35" si="59">Y34/$Z34</f>
        <v>0.33063428425877572</v>
      </c>
      <c r="AO34" s="55">
        <f t="shared" ref="AO34:AO35" si="60">SUM(AH34:AN34)</f>
        <v>1</v>
      </c>
      <c r="AP34" s="7">
        <f t="shared" si="26"/>
        <v>0.66936571574122428</v>
      </c>
      <c r="AQ34" s="7">
        <f t="shared" si="27"/>
        <v>0</v>
      </c>
      <c r="AS34">
        <f t="shared" ref="AS34:AS35" si="61">AG34</f>
        <v>2017</v>
      </c>
      <c r="AT34" s="2">
        <f t="shared" ref="AT34:AT35" si="62">S34</f>
        <v>27834.182897540748</v>
      </c>
      <c r="AU34" s="2"/>
      <c r="AV34" s="2">
        <f t="shared" ref="AV34:AV35" si="63">U34</f>
        <v>18398.834998042294</v>
      </c>
      <c r="AW34" s="2">
        <f t="shared" ref="AW34:AW35" si="64">V34</f>
        <v>7898.1941782518143</v>
      </c>
      <c r="AX34" s="2"/>
      <c r="AY34" s="2">
        <f t="shared" ref="AY34:AY35" si="65">X34</f>
        <v>6427.6575449925303</v>
      </c>
      <c r="AZ34" s="2">
        <f t="shared" ref="AZ34:AZ35" si="66">Y34</f>
        <v>29913.152169392419</v>
      </c>
      <c r="BA34" s="2">
        <f t="shared" ref="BA34:BA35" si="67">Z34</f>
        <v>90472.021788219805</v>
      </c>
      <c r="BB34" s="2">
        <f t="shared" ref="BB34:BB35" si="68">SUM(AT34:AZ34)-Z34</f>
        <v>0</v>
      </c>
      <c r="BC34" s="2"/>
      <c r="BE34" s="22"/>
      <c r="BZ34" s="2"/>
    </row>
    <row r="35" spans="1:78" x14ac:dyDescent="0.2">
      <c r="A35">
        <f t="shared" si="5"/>
        <v>2018</v>
      </c>
      <c r="B35" s="2">
        <f t="shared" si="14"/>
        <v>26581.644667151413</v>
      </c>
      <c r="C35" s="2"/>
      <c r="D35" s="2">
        <f t="shared" si="15"/>
        <v>16687.74334322436</v>
      </c>
      <c r="E35" s="2">
        <f t="shared" si="16"/>
        <v>7155.7639254961441</v>
      </c>
      <c r="F35" s="2"/>
      <c r="G35" s="2">
        <f t="shared" si="17"/>
        <v>5495.6472009686131</v>
      </c>
      <c r="H35" s="2">
        <f t="shared" si="18"/>
        <v>29883.239017223026</v>
      </c>
      <c r="I35" s="2">
        <f t="shared" si="38"/>
        <v>85804.038154063557</v>
      </c>
      <c r="J35" s="2">
        <f t="shared" si="39"/>
        <v>-10309.004394895761</v>
      </c>
      <c r="K35" s="6">
        <f t="shared" si="40"/>
        <v>-0.10725916193574275</v>
      </c>
      <c r="L35" s="7">
        <f t="shared" si="41"/>
        <v>0.89274083806425719</v>
      </c>
      <c r="N35">
        <f t="shared" si="42"/>
        <v>2018</v>
      </c>
      <c r="O35" s="2">
        <f t="shared" si="22"/>
        <v>5765.6238643098659</v>
      </c>
      <c r="P35" s="2"/>
      <c r="Q35" s="2"/>
      <c r="R35">
        <f t="shared" si="43"/>
        <v>2018</v>
      </c>
      <c r="S35" s="2">
        <f t="shared" si="44"/>
        <v>25428.519894289439</v>
      </c>
      <c r="T35" s="2"/>
      <c r="U35" s="2">
        <f t="shared" si="45"/>
        <v>15534.618570362387</v>
      </c>
      <c r="V35" s="2">
        <f t="shared" si="46"/>
        <v>6002.6391526341704</v>
      </c>
      <c r="W35" s="2"/>
      <c r="X35" s="2">
        <f t="shared" si="47"/>
        <v>4342.5224281066403</v>
      </c>
      <c r="Y35" s="2">
        <f t="shared" si="48"/>
        <v>28730.114244361052</v>
      </c>
      <c r="Z35" s="2">
        <f t="shared" si="49"/>
        <v>80038.41428975368</v>
      </c>
      <c r="AA35" s="2">
        <f t="shared" si="50"/>
        <v>-10433.607498466125</v>
      </c>
      <c r="AB35" s="6">
        <f t="shared" si="51"/>
        <v>-0.11532413327613582</v>
      </c>
      <c r="AC35" s="7">
        <f t="shared" si="52"/>
        <v>0.88467586672386422</v>
      </c>
      <c r="AD35" s="2">
        <f t="shared" si="53"/>
        <v>0</v>
      </c>
      <c r="AE35" s="2"/>
      <c r="AG35">
        <f t="shared" si="54"/>
        <v>2018</v>
      </c>
      <c r="AH35" s="6">
        <f t="shared" si="55"/>
        <v>0.31770394403659163</v>
      </c>
      <c r="AI35" s="57"/>
      <c r="AJ35" s="6">
        <f t="shared" si="56"/>
        <v>0.19408953448433186</v>
      </c>
      <c r="AK35" s="6">
        <f t="shared" si="57"/>
        <v>7.4996977462640876E-2</v>
      </c>
      <c r="AL35" s="57"/>
      <c r="AM35" s="6">
        <f t="shared" si="58"/>
        <v>5.4255478030660574E-2</v>
      </c>
      <c r="AN35" s="6">
        <f t="shared" si="59"/>
        <v>0.35895406598577517</v>
      </c>
      <c r="AO35" s="55">
        <f t="shared" si="60"/>
        <v>1</v>
      </c>
      <c r="AP35" s="7">
        <f t="shared" si="26"/>
        <v>0.64104593401422494</v>
      </c>
      <c r="AQ35" s="7">
        <f t="shared" si="27"/>
        <v>0</v>
      </c>
      <c r="AS35">
        <f t="shared" si="61"/>
        <v>2018</v>
      </c>
      <c r="AT35" s="2">
        <f t="shared" si="62"/>
        <v>25428.519894289439</v>
      </c>
      <c r="AU35" s="2"/>
      <c r="AV35" s="2">
        <f t="shared" si="63"/>
        <v>15534.618570362387</v>
      </c>
      <c r="AW35" s="2">
        <f t="shared" si="64"/>
        <v>6002.6391526341704</v>
      </c>
      <c r="AX35" s="2"/>
      <c r="AY35" s="2">
        <f t="shared" si="65"/>
        <v>4342.5224281066403</v>
      </c>
      <c r="AZ35" s="2">
        <f t="shared" si="66"/>
        <v>28730.114244361052</v>
      </c>
      <c r="BA35" s="2">
        <f t="shared" si="67"/>
        <v>80038.41428975368</v>
      </c>
      <c r="BB35" s="2">
        <f t="shared" si="68"/>
        <v>0</v>
      </c>
      <c r="BC35" s="2"/>
      <c r="BE35" s="22"/>
      <c r="BZ35" s="2"/>
    </row>
    <row r="36" spans="1:78" x14ac:dyDescent="0.2">
      <c r="A36">
        <f t="shared" ref="A36:A37" si="69">A16</f>
        <v>2019</v>
      </c>
      <c r="B36" s="2">
        <f t="shared" ref="B36:B37" si="70">AT35*(1+(B16/100))</f>
        <v>33427.31511223712</v>
      </c>
      <c r="C36" s="2"/>
      <c r="D36" s="2">
        <f t="shared" ref="D36:E36" si="71">AV35*(1+(D16/100))</f>
        <v>20355.259266642963</v>
      </c>
      <c r="E36" s="2">
        <f t="shared" si="71"/>
        <v>7645.4054200921746</v>
      </c>
      <c r="F36" s="2"/>
      <c r="G36" s="2">
        <f t="shared" ref="G36:H36" si="72">AY35*(1+(G16/100))</f>
        <v>5276.5121519438162</v>
      </c>
      <c r="H36" s="2">
        <f t="shared" si="72"/>
        <v>31233.656399614672</v>
      </c>
      <c r="I36" s="2">
        <f t="shared" ref="I36:I37" si="73">SUM(B36:H36)</f>
        <v>97938.148350530741</v>
      </c>
      <c r="J36" s="2">
        <f t="shared" ref="J36:J37" si="74">I36-I35</f>
        <v>12134.110196467183</v>
      </c>
      <c r="K36" s="6">
        <f t="shared" ref="K36:K37" si="75">(J36/I35)</f>
        <v>0.1414165400313683</v>
      </c>
      <c r="L36" s="7">
        <f t="shared" ref="L36:L37" si="76">K36+1</f>
        <v>1.1414165400313683</v>
      </c>
      <c r="N36">
        <f t="shared" ref="N36:N37" si="77">A36</f>
        <v>2019</v>
      </c>
      <c r="O36" s="2">
        <f t="shared" ref="O36:O37" si="78">O35*(1+O16)</f>
        <v>5897.4431869990631</v>
      </c>
      <c r="P36" s="2"/>
      <c r="Q36" s="2"/>
      <c r="R36">
        <f t="shared" ref="R36:R37" si="79">A36</f>
        <v>2019</v>
      </c>
      <c r="S36" s="2">
        <f t="shared" ref="S36:S37" si="80">B36-($O36/5)</f>
        <v>32247.826474837308</v>
      </c>
      <c r="T36" s="2"/>
      <c r="U36" s="2">
        <f t="shared" ref="U36:U37" si="81">D36-($O36/5)</f>
        <v>19175.77062924315</v>
      </c>
      <c r="V36" s="2">
        <f t="shared" ref="V36:V37" si="82">E36-($O36/5)</f>
        <v>6465.9167826923622</v>
      </c>
      <c r="W36" s="2"/>
      <c r="X36" s="2">
        <f t="shared" ref="X36:X37" si="83">G36-($O36/5)</f>
        <v>4097.0235145440038</v>
      </c>
      <c r="Y36" s="2">
        <f t="shared" ref="Y36:Y37" si="84">H36-($O36/5)</f>
        <v>30054.16776221486</v>
      </c>
      <c r="Z36" s="2">
        <f t="shared" ref="Z36:Z37" si="85">SUM(S36:Y36)</f>
        <v>92040.705163531689</v>
      </c>
      <c r="AA36" s="2">
        <f t="shared" ref="AA36:AA37" si="86">Z36-Z35</f>
        <v>12002.290873778009</v>
      </c>
      <c r="AB36" s="6">
        <f t="shared" ref="AB36:AB37" si="87">(AA36/Z35)</f>
        <v>0.14995662995430573</v>
      </c>
      <c r="AC36" s="7">
        <f t="shared" ref="AC36:AC37" si="88">AB36+1</f>
        <v>1.1499566299543058</v>
      </c>
      <c r="AD36" s="2">
        <f t="shared" ref="AD36:AD37" si="89">Z36-(I36-O36)</f>
        <v>0</v>
      </c>
      <c r="AE36" s="2"/>
      <c r="AG36">
        <f t="shared" ref="AG36:AG37" si="90">A36</f>
        <v>2019</v>
      </c>
      <c r="AH36" s="6">
        <f t="shared" ref="AH36:AH37" si="91">S36/$Z36</f>
        <v>0.35036483496667647</v>
      </c>
      <c r="AI36" s="57"/>
      <c r="AJ36" s="6">
        <f t="shared" ref="AJ36:AJ37" si="92">U36/$Z36</f>
        <v>0.20834010990216709</v>
      </c>
      <c r="AK36" s="6">
        <f t="shared" ref="AK36:AK37" si="93">V36/$Z36</f>
        <v>7.0250621952582387E-2</v>
      </c>
      <c r="AL36" s="57"/>
      <c r="AM36" s="6">
        <f t="shared" ref="AM36:AM37" si="94">X36/$Z36</f>
        <v>4.4513169551066455E-2</v>
      </c>
      <c r="AN36" s="6">
        <f t="shared" ref="AN36:AN37" si="95">Y36/$Z36</f>
        <v>0.32653126362750751</v>
      </c>
      <c r="AO36" s="55">
        <f t="shared" ref="AO36:AO37" si="96">SUM(AH36:AN36)</f>
        <v>0.99999999999999989</v>
      </c>
      <c r="AP36" s="7">
        <f t="shared" ref="AP36:AP37" si="97">SUM(AH36:AM36)</f>
        <v>0.67346873637249238</v>
      </c>
      <c r="AQ36" s="7">
        <f t="shared" ref="AQ36:AQ37" si="98">AO36-(AP36+AN36)</f>
        <v>0</v>
      </c>
      <c r="AS36">
        <f t="shared" ref="AS36:AS37" si="99">AG36</f>
        <v>2019</v>
      </c>
      <c r="AT36" s="2">
        <f t="shared" ref="AT36:AT37" si="100">S36</f>
        <v>32247.826474837308</v>
      </c>
      <c r="AU36" s="2"/>
      <c r="AV36" s="2">
        <f t="shared" ref="AV36:AV37" si="101">U36</f>
        <v>19175.77062924315</v>
      </c>
      <c r="AW36" s="2">
        <f t="shared" ref="AW36:AW37" si="102">V36</f>
        <v>6465.9167826923622</v>
      </c>
      <c r="AX36" s="2"/>
      <c r="AY36" s="2">
        <f t="shared" ref="AY36:AY37" si="103">X36</f>
        <v>4097.0235145440038</v>
      </c>
      <c r="AZ36" s="2">
        <f t="shared" ref="AZ36:AZ37" si="104">Y36</f>
        <v>30054.16776221486</v>
      </c>
      <c r="BA36" s="2">
        <f t="shared" ref="BA36:BA37" si="105">Z36</f>
        <v>92040.705163531689</v>
      </c>
      <c r="BB36" s="2">
        <f t="shared" ref="BB36:BB37" si="106">SUM(AT36:AZ36)-Z36</f>
        <v>0</v>
      </c>
      <c r="BC36" s="2"/>
      <c r="BE36" s="22"/>
      <c r="BZ36" s="2"/>
    </row>
    <row r="37" spans="1:78" x14ac:dyDescent="0.2">
      <c r="A37">
        <f t="shared" si="69"/>
        <v>2020</v>
      </c>
      <c r="B37" s="2">
        <f t="shared" si="70"/>
        <v>38171.75219826492</v>
      </c>
      <c r="C37" s="2"/>
      <c r="D37" s="2">
        <f t="shared" ref="D37:E37" si="107">AV36*(1+(D17/100))</f>
        <v>22673.431192017099</v>
      </c>
      <c r="E37" s="2">
        <f t="shared" si="107"/>
        <v>7701.5534798648732</v>
      </c>
      <c r="F37" s="2"/>
      <c r="G37" s="2">
        <f t="shared" ref="G37:H37" si="108">AY36*(1+(G17/100))</f>
        <v>4559.1677669845676</v>
      </c>
      <c r="H37" s="2">
        <f t="shared" si="108"/>
        <v>32374.349513457844</v>
      </c>
      <c r="I37" s="2">
        <f t="shared" si="73"/>
        <v>105480.2541505893</v>
      </c>
      <c r="J37" s="2">
        <f t="shared" si="74"/>
        <v>7542.1058000585617</v>
      </c>
      <c r="K37" s="6">
        <f t="shared" si="75"/>
        <v>7.700886658653773E-2</v>
      </c>
      <c r="L37" s="7">
        <f t="shared" si="76"/>
        <v>1.0770088665865378</v>
      </c>
      <c r="N37">
        <f t="shared" si="77"/>
        <v>2020</v>
      </c>
      <c r="O37" s="2">
        <f t="shared" si="78"/>
        <v>5897.4431869990631</v>
      </c>
      <c r="P37" s="2"/>
      <c r="Q37" s="2"/>
      <c r="R37">
        <f t="shared" si="79"/>
        <v>2020</v>
      </c>
      <c r="S37" s="2">
        <f t="shared" si="80"/>
        <v>36992.263560865103</v>
      </c>
      <c r="T37" s="2"/>
      <c r="U37" s="2">
        <f t="shared" si="81"/>
        <v>21493.942554617286</v>
      </c>
      <c r="V37" s="2">
        <f t="shared" si="82"/>
        <v>6522.0648424650608</v>
      </c>
      <c r="W37" s="2"/>
      <c r="X37" s="2">
        <f t="shared" si="83"/>
        <v>3379.6791295847552</v>
      </c>
      <c r="Y37" s="2">
        <f t="shared" si="84"/>
        <v>31194.860876058032</v>
      </c>
      <c r="Z37" s="2">
        <f t="shared" si="85"/>
        <v>99582.810963590222</v>
      </c>
      <c r="AA37" s="2">
        <f t="shared" si="86"/>
        <v>7542.1058000585326</v>
      </c>
      <c r="AB37" s="6">
        <f t="shared" si="87"/>
        <v>8.1943155331744039E-2</v>
      </c>
      <c r="AC37" s="7">
        <f t="shared" si="88"/>
        <v>1.081943155331744</v>
      </c>
      <c r="AD37" s="2">
        <f t="shared" si="89"/>
        <v>0</v>
      </c>
      <c r="AE37" s="2"/>
      <c r="AG37">
        <f t="shared" si="90"/>
        <v>2020</v>
      </c>
      <c r="AH37" s="6">
        <f t="shared" si="91"/>
        <v>0.37147237764146196</v>
      </c>
      <c r="AI37" s="57"/>
      <c r="AJ37" s="6">
        <f t="shared" si="92"/>
        <v>0.21583988588628983</v>
      </c>
      <c r="AK37" s="6">
        <f t="shared" si="93"/>
        <v>6.5493881718700214E-2</v>
      </c>
      <c r="AL37" s="57"/>
      <c r="AM37" s="6">
        <f t="shared" si="94"/>
        <v>3.3938378490043268E-2</v>
      </c>
      <c r="AN37" s="6">
        <f t="shared" si="95"/>
        <v>0.31325547626350492</v>
      </c>
      <c r="AO37" s="55">
        <f t="shared" si="96"/>
        <v>1</v>
      </c>
      <c r="AP37" s="7">
        <f t="shared" si="97"/>
        <v>0.68674452373649519</v>
      </c>
      <c r="AQ37" s="7">
        <f t="shared" si="98"/>
        <v>0</v>
      </c>
      <c r="AS37">
        <f t="shared" si="99"/>
        <v>2020</v>
      </c>
      <c r="AT37" s="2">
        <f t="shared" si="100"/>
        <v>36992.263560865103</v>
      </c>
      <c r="AU37" s="2"/>
      <c r="AV37" s="2">
        <f t="shared" si="101"/>
        <v>21493.942554617286</v>
      </c>
      <c r="AW37" s="2">
        <f t="shared" si="102"/>
        <v>6522.0648424650608</v>
      </c>
      <c r="AX37" s="2"/>
      <c r="AY37" s="2">
        <f t="shared" si="103"/>
        <v>3379.6791295847552</v>
      </c>
      <c r="AZ37" s="2">
        <f t="shared" si="104"/>
        <v>31194.860876058032</v>
      </c>
      <c r="BA37" s="2">
        <f t="shared" si="105"/>
        <v>99582.810963590222</v>
      </c>
      <c r="BB37" s="2">
        <f t="shared" si="106"/>
        <v>0</v>
      </c>
      <c r="BC37" s="2"/>
      <c r="BE37" s="22"/>
      <c r="BZ37" s="2"/>
    </row>
    <row r="38" spans="1:78" x14ac:dyDescent="0.2">
      <c r="A38" s="9" t="s">
        <v>44</v>
      </c>
      <c r="B38" s="10">
        <f>AT38</f>
        <v>36992.263560865103</v>
      </c>
      <c r="C38" s="10"/>
      <c r="D38" s="10">
        <f>AV38</f>
        <v>21493.942554617286</v>
      </c>
      <c r="E38" s="10">
        <f>AW38</f>
        <v>6522.0648424650608</v>
      </c>
      <c r="F38" s="10"/>
      <c r="G38" s="10">
        <f>AY38</f>
        <v>3379.6791295847552</v>
      </c>
      <c r="H38" s="10">
        <f>AZ38</f>
        <v>31194.860876058032</v>
      </c>
      <c r="I38" s="10">
        <f>SUM(B38:H38)</f>
        <v>99582.810963590222</v>
      </c>
      <c r="J38" s="10"/>
      <c r="K38" s="10"/>
      <c r="N38" t="s">
        <v>75</v>
      </c>
      <c r="O38" s="2">
        <f>O37</f>
        <v>5897.4431869990631</v>
      </c>
      <c r="P38" s="2"/>
      <c r="R38" s="9" t="s">
        <v>44</v>
      </c>
      <c r="S38" s="10">
        <f>S37</f>
        <v>36992.263560865103</v>
      </c>
      <c r="T38" s="10"/>
      <c r="U38" s="10">
        <f>U37</f>
        <v>21493.942554617286</v>
      </c>
      <c r="V38" s="10">
        <f>V37</f>
        <v>6522.0648424650608</v>
      </c>
      <c r="W38" s="10"/>
      <c r="X38" s="10">
        <f>X37</f>
        <v>3379.6791295847552</v>
      </c>
      <c r="Y38" s="10">
        <f>Y37</f>
        <v>31194.860876058032</v>
      </c>
      <c r="Z38" s="10">
        <f>Z37</f>
        <v>99582.810963590222</v>
      </c>
      <c r="AA38" s="40"/>
      <c r="AB38" s="40"/>
      <c r="AC38" s="40"/>
      <c r="AD38" s="40"/>
      <c r="AE38" s="40"/>
      <c r="AG38" s="68" t="s">
        <v>169</v>
      </c>
      <c r="AH38" s="69">
        <f>AH37</f>
        <v>0.37147237764146196</v>
      </c>
      <c r="AI38" s="68"/>
      <c r="AJ38" s="69">
        <f>AJ37</f>
        <v>0.21583988588628983</v>
      </c>
      <c r="AK38" s="68"/>
      <c r="AL38" s="68"/>
      <c r="AM38" s="69">
        <f>AM37</f>
        <v>3.3938378490043268E-2</v>
      </c>
      <c r="AN38" s="69">
        <f>AN37</f>
        <v>0.31325547626350492</v>
      </c>
      <c r="AO38" s="69">
        <f>AO37</f>
        <v>1</v>
      </c>
      <c r="AP38" s="69">
        <f>AP37</f>
        <v>0.68674452373649519</v>
      </c>
      <c r="AS38" s="9" t="s">
        <v>44</v>
      </c>
      <c r="AT38" s="10">
        <f>AT37</f>
        <v>36992.263560865103</v>
      </c>
      <c r="AU38" s="10"/>
      <c r="AV38" s="10">
        <f>AV37</f>
        <v>21493.942554617286</v>
      </c>
      <c r="AW38" s="10">
        <f>AW37</f>
        <v>6522.0648424650608</v>
      </c>
      <c r="AX38" s="10"/>
      <c r="AY38" s="10">
        <f>AY37</f>
        <v>3379.6791295847552</v>
      </c>
      <c r="AZ38" s="10">
        <f>AZ37</f>
        <v>31194.860876058032</v>
      </c>
      <c r="BA38" s="10">
        <f>BA37</f>
        <v>99582.810963590222</v>
      </c>
      <c r="BB38" s="2">
        <f t="shared" si="13"/>
        <v>0</v>
      </c>
    </row>
    <row r="39" spans="1:78" x14ac:dyDescent="0.2">
      <c r="A39" s="11" t="s">
        <v>88</v>
      </c>
      <c r="I39" s="6">
        <f>(Z38-Z23)/Z23</f>
        <v>-4.1718903640977807E-3</v>
      </c>
      <c r="K39" s="6"/>
      <c r="N39" t="s">
        <v>36</v>
      </c>
      <c r="O39" s="2">
        <f>SUM(O24:O37)</f>
        <v>74965.920328989669</v>
      </c>
      <c r="P39" s="2"/>
      <c r="AJ39" s="7"/>
    </row>
    <row r="40" spans="1:78" x14ac:dyDescent="0.2">
      <c r="A40" s="1" t="s">
        <v>89</v>
      </c>
      <c r="I40" s="12">
        <f>STDEV(AC24:AC37)</f>
        <v>0.1052605542336567</v>
      </c>
      <c r="AK40" s="70"/>
      <c r="AL40" s="70"/>
      <c r="AM40" s="71" t="s">
        <v>170</v>
      </c>
      <c r="AN40" s="70" t="b">
        <f>IF((AN37=AN38),TRUE,FALSE)</f>
        <v>1</v>
      </c>
      <c r="AO40" s="70"/>
      <c r="AP40" s="72" t="b">
        <f>IF(((SUM(AH37:AM37))=AP38),TRUE,FALSE)</f>
        <v>1</v>
      </c>
    </row>
    <row r="41" spans="1:78" x14ac:dyDescent="0.2">
      <c r="A41" s="1" t="s">
        <v>90</v>
      </c>
      <c r="I41" s="13">
        <f>((1+I39)^(1/I48))-1</f>
        <v>-3.4832406925910941E-4</v>
      </c>
    </row>
    <row r="42" spans="1:78" x14ac:dyDescent="0.2">
      <c r="A42" s="1" t="s">
        <v>48</v>
      </c>
      <c r="I42" s="27">
        <f>AA25</f>
        <v>-26923.604794107494</v>
      </c>
      <c r="O42" s="2"/>
      <c r="P42" s="2"/>
    </row>
    <row r="43" spans="1:78" x14ac:dyDescent="0.2">
      <c r="A43" s="1" t="s">
        <v>49</v>
      </c>
      <c r="I43" s="28">
        <f>AB25</f>
        <v>-0.26300451688713372</v>
      </c>
    </row>
    <row r="44" spans="1:78" x14ac:dyDescent="0.2">
      <c r="A44" s="1" t="s">
        <v>77</v>
      </c>
      <c r="I44" s="2">
        <f>O39</f>
        <v>74965.920328989669</v>
      </c>
    </row>
    <row r="45" spans="1:78" x14ac:dyDescent="0.2">
      <c r="A45" s="3" t="s">
        <v>50</v>
      </c>
      <c r="I45" s="29">
        <f>I38-Z37</f>
        <v>0</v>
      </c>
    </row>
    <row r="46" spans="1:78" x14ac:dyDescent="0.2">
      <c r="A46" s="3" t="s">
        <v>134</v>
      </c>
      <c r="I46" s="29">
        <f>((SUM(AA24:AA37)))-(SUM(AA24:AA37))</f>
        <v>0</v>
      </c>
    </row>
    <row r="47" spans="1:78" x14ac:dyDescent="0.2">
      <c r="A47" s="3" t="s">
        <v>135</v>
      </c>
      <c r="I47" s="29">
        <f>(SUM(O24:O37))-I44</f>
        <v>0</v>
      </c>
    </row>
    <row r="48" spans="1:78" x14ac:dyDescent="0.2">
      <c r="A48" s="3" t="s">
        <v>139</v>
      </c>
      <c r="I48" s="3">
        <f>COUNTA(I24:I35)</f>
        <v>12</v>
      </c>
    </row>
    <row r="49" spans="1:9" x14ac:dyDescent="0.2">
      <c r="A49" s="80" t="s">
        <v>91</v>
      </c>
      <c r="B49" s="2"/>
      <c r="C49" s="2"/>
      <c r="D49" s="2"/>
      <c r="E49" s="2"/>
      <c r="G49" s="2"/>
      <c r="H49" s="2"/>
      <c r="I49" s="81">
        <f>AP38</f>
        <v>0.68674452373649519</v>
      </c>
    </row>
    <row r="50" spans="1:9" x14ac:dyDescent="0.2">
      <c r="A50" s="80" t="s">
        <v>174</v>
      </c>
      <c r="B50" s="2"/>
      <c r="D50" s="2"/>
      <c r="E50" s="2"/>
      <c r="G50" s="2"/>
      <c r="H50" s="2"/>
      <c r="I50" s="81">
        <f>AN38</f>
        <v>0.31325547626350492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D8CD7-6F79-4609-9893-46D5DEA18E73}">
  <dimension ref="A1:BM50"/>
  <sheetViews>
    <sheetView topLeftCell="A9" zoomScaleNormal="100" workbookViewId="0">
      <selection activeCell="A35" sqref="A35:XFD37"/>
    </sheetView>
  </sheetViews>
  <sheetFormatPr baseColWidth="10" defaultColWidth="8.83203125" defaultRowHeight="15" x14ac:dyDescent="0.2"/>
  <cols>
    <col min="1" max="1" width="25.5" customWidth="1"/>
    <col min="2" max="2" width="9.33203125" bestFit="1" customWidth="1"/>
    <col min="9" max="9" width="11.6640625" customWidth="1"/>
    <col min="10" max="10" width="10" bestFit="1" customWidth="1"/>
    <col min="11" max="12" width="0" hidden="1" customWidth="1"/>
    <col min="15" max="15" width="9.83203125" bestFit="1" customWidth="1"/>
    <col min="16" max="16" width="9.83203125" customWidth="1"/>
    <col min="18" max="18" width="9.1640625" customWidth="1"/>
    <col min="19" max="19" width="10.83203125" bestFit="1" customWidth="1"/>
    <col min="21" max="21" width="11.83203125" bestFit="1" customWidth="1"/>
    <col min="26" max="26" width="10.83203125" bestFit="1" customWidth="1"/>
    <col min="27" max="27" width="10" bestFit="1" customWidth="1"/>
    <col min="30" max="31" width="10.83203125" customWidth="1"/>
    <col min="56" max="56" width="10.83203125" bestFit="1" customWidth="1"/>
    <col min="63" max="63" width="9.33203125" bestFit="1" customWidth="1"/>
  </cols>
  <sheetData>
    <row r="1" spans="1:16" x14ac:dyDescent="0.2">
      <c r="A1" s="18" t="s">
        <v>17</v>
      </c>
      <c r="N1" s="18" t="s">
        <v>131</v>
      </c>
    </row>
    <row r="2" spans="1:16" x14ac:dyDescent="0.2">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5" spans="1:16" x14ac:dyDescent="0.2">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'4.5% Withdrawals-No Rebalancing'!N15</f>
        <v>2018</v>
      </c>
      <c r="O15" s="47">
        <f>'4.5% Withdrawals-No Rebalancing'!O15</f>
        <v>2.2088751106458498E-2</v>
      </c>
      <c r="P15" s="41"/>
    </row>
    <row r="16" spans="1:16" x14ac:dyDescent="0.2">
      <c r="A16" s="16">
        <f>'Non-Rebalanced Strategy'!A16</f>
        <v>2019</v>
      </c>
      <c r="B16" s="16">
        <f>'Non-Rebalanced Strategy'!B16</f>
        <v>31.456</v>
      </c>
      <c r="C16" s="16"/>
      <c r="D16" s="16">
        <f>'Non-Rebalanced Strategy'!D16</f>
        <v>31.031600000000001</v>
      </c>
      <c r="E16" s="16">
        <f>'Non-Rebalanced Strategy'!E16</f>
        <v>27.3674</v>
      </c>
      <c r="F16" s="16"/>
      <c r="G16" s="16">
        <f>'Non-Rebalanced Strategy'!G16</f>
        <v>21.507999999999999</v>
      </c>
      <c r="H16" s="16">
        <f>'Non-Rebalanced Strategy'!H16</f>
        <v>8.7140000000000004</v>
      </c>
      <c r="N16" s="46">
        <f>'4.5% Withdrawals-No Rebalancing'!N16</f>
        <v>2019</v>
      </c>
      <c r="O16" s="47">
        <f>'4.5% Withdrawals-No Rebalancing'!O16</f>
        <v>2.2862976460393248E-2</v>
      </c>
      <c r="P16" s="41"/>
    </row>
    <row r="17" spans="1:65" x14ac:dyDescent="0.2">
      <c r="A17" s="16">
        <f>'Non-Rebalanced Strategy'!A17</f>
        <v>2020</v>
      </c>
      <c r="B17" s="16">
        <f>'Non-Rebalanced Strategy'!B17</f>
        <v>18.37</v>
      </c>
      <c r="C17" s="16"/>
      <c r="D17" s="16">
        <f>'Non-Rebalanced Strategy'!D17</f>
        <v>18.239999999999998</v>
      </c>
      <c r="E17" s="16">
        <f>'Non-Rebalanced Strategy'!E17</f>
        <v>19.11</v>
      </c>
      <c r="F17" s="16"/>
      <c r="G17" s="16">
        <f>'Non-Rebalanced Strategy'!G17</f>
        <v>11.28</v>
      </c>
      <c r="H17" s="16">
        <f>'Non-Rebalanced Strategy'!H17</f>
        <v>7.72</v>
      </c>
      <c r="N17" s="46">
        <f>'4.5% Withdrawals-No Rebalancing'!N17</f>
        <v>0</v>
      </c>
      <c r="O17" s="47">
        <f>'4.5% Withdrawals-No Rebalancing'!O17</f>
        <v>0</v>
      </c>
      <c r="P17" s="41"/>
    </row>
    <row r="20" spans="1:65" x14ac:dyDescent="0.2">
      <c r="A20" s="18" t="s">
        <v>103</v>
      </c>
      <c r="N20" s="18" t="s">
        <v>64</v>
      </c>
      <c r="R20" s="18" t="s">
        <v>104</v>
      </c>
      <c r="AG20" s="18" t="s">
        <v>105</v>
      </c>
      <c r="AS20" s="18" t="s">
        <v>65</v>
      </c>
      <c r="BC20" s="18" t="s">
        <v>106</v>
      </c>
    </row>
    <row r="21" spans="1:65" x14ac:dyDescent="0.2">
      <c r="B21" s="4" t="str">
        <f t="shared" ref="B21:H22" si="0">B2</f>
        <v>LC Stocks</v>
      </c>
      <c r="C21" s="4" t="str">
        <f t="shared" si="0"/>
        <v>Ext Mkt</v>
      </c>
      <c r="D21" s="4" t="str">
        <f t="shared" si="0"/>
        <v>Mcap Stk</v>
      </c>
      <c r="E21" s="4" t="str">
        <f t="shared" si="0"/>
        <v>Small Cap</v>
      </c>
      <c r="F21" s="4" t="str">
        <f t="shared" si="0"/>
        <v>Intl Val</v>
      </c>
      <c r="G21" s="4" t="str">
        <f t="shared" si="0"/>
        <v>Tot Int Stk</v>
      </c>
      <c r="H21" s="4" t="str">
        <f t="shared" si="0"/>
        <v>Bonds</v>
      </c>
      <c r="I21" s="5"/>
      <c r="J21" s="5" t="s">
        <v>42</v>
      </c>
      <c r="K21" s="5" t="s">
        <v>39</v>
      </c>
      <c r="L21" s="5" t="s">
        <v>40</v>
      </c>
      <c r="O21" s="66">
        <v>4.4999999999999998E-2</v>
      </c>
      <c r="S21" s="4" t="str">
        <f t="shared" ref="S21:Z23" si="1">B21</f>
        <v>LC Stocks</v>
      </c>
      <c r="T21" s="4" t="str">
        <f t="shared" si="1"/>
        <v>Ext Mkt</v>
      </c>
      <c r="U21" s="4" t="str">
        <f t="shared" si="1"/>
        <v>Mcap Stk</v>
      </c>
      <c r="V21" s="4" t="str">
        <f t="shared" si="1"/>
        <v>Small Cap</v>
      </c>
      <c r="W21" s="4" t="str">
        <f t="shared" si="1"/>
        <v>Intl Val</v>
      </c>
      <c r="X21" s="4" t="str">
        <f t="shared" si="1"/>
        <v>Tot Int Stk</v>
      </c>
      <c r="Y21" s="4" t="str">
        <f t="shared" si="1"/>
        <v>Bonds</v>
      </c>
      <c r="Z21" s="5"/>
      <c r="AA21" s="5" t="s">
        <v>42</v>
      </c>
      <c r="AB21" s="5" t="s">
        <v>39</v>
      </c>
      <c r="AC21" s="5" t="s">
        <v>40</v>
      </c>
      <c r="AD21" s="5" t="s">
        <v>54</v>
      </c>
      <c r="AE21" s="5"/>
      <c r="AH21" s="4" t="str">
        <f t="shared" ref="AH21:AN22" si="2">B21</f>
        <v>LC Stocks</v>
      </c>
      <c r="AI21" s="4" t="str">
        <f t="shared" si="2"/>
        <v>Ext Mkt</v>
      </c>
      <c r="AJ21" s="4" t="str">
        <f t="shared" si="2"/>
        <v>Mcap Stk</v>
      </c>
      <c r="AK21" s="4" t="str">
        <f t="shared" si="2"/>
        <v>Small Cap</v>
      </c>
      <c r="AL21" s="4" t="str">
        <f t="shared" si="2"/>
        <v>Intl Val</v>
      </c>
      <c r="AM21" s="4" t="str">
        <f t="shared" si="2"/>
        <v>Tot Int Stk</v>
      </c>
      <c r="AN21" s="4" t="str">
        <f t="shared" si="2"/>
        <v>Bonds</v>
      </c>
      <c r="AO21" s="5"/>
      <c r="AP21" s="5" t="s">
        <v>171</v>
      </c>
      <c r="AQ21" s="3" t="s">
        <v>172</v>
      </c>
      <c r="AT21" s="4" t="str">
        <f t="shared" ref="AT21:AZ22" si="3">AH21</f>
        <v>LC Stocks</v>
      </c>
      <c r="AU21" s="4" t="str">
        <f t="shared" si="3"/>
        <v>Ext Mkt</v>
      </c>
      <c r="AV21" s="4" t="str">
        <f t="shared" si="3"/>
        <v>Mcap Stk</v>
      </c>
      <c r="AW21" s="4" t="str">
        <f t="shared" si="3"/>
        <v>Small Cap</v>
      </c>
      <c r="AX21" s="4" t="str">
        <f t="shared" si="3"/>
        <v>Intl Val</v>
      </c>
      <c r="AY21" s="4" t="str">
        <f t="shared" si="3"/>
        <v>Tot Int Stk</v>
      </c>
      <c r="AZ21" s="4" t="str">
        <f t="shared" si="3"/>
        <v>Bonds</v>
      </c>
      <c r="BA21" s="5"/>
      <c r="BD21" s="4" t="str">
        <f>AT21</f>
        <v>LC Stocks</v>
      </c>
      <c r="BE21" s="4" t="str">
        <f t="shared" ref="BE21:BK23" si="4">AU21</f>
        <v>Ext Mkt</v>
      </c>
      <c r="BF21" s="4" t="str">
        <f t="shared" si="4"/>
        <v>Mcap Stk</v>
      </c>
      <c r="BG21" s="4" t="str">
        <f t="shared" si="4"/>
        <v>Small Cap</v>
      </c>
      <c r="BH21" s="4" t="str">
        <f t="shared" si="4"/>
        <v>Intl Val</v>
      </c>
      <c r="BI21" s="4" t="str">
        <f t="shared" si="4"/>
        <v>Tot Int Stk</v>
      </c>
      <c r="BJ21" s="4" t="str">
        <f t="shared" si="4"/>
        <v>Bonds</v>
      </c>
      <c r="BK21" s="4"/>
      <c r="BL21" t="s">
        <v>54</v>
      </c>
    </row>
    <row r="22" spans="1:65" x14ac:dyDescent="0.2">
      <c r="A22" t="s">
        <v>38</v>
      </c>
      <c r="B22" s="4" t="str">
        <f t="shared" si="0"/>
        <v>VFINX</v>
      </c>
      <c r="C22" s="4" t="str">
        <f t="shared" si="0"/>
        <v>VEXMX</v>
      </c>
      <c r="D22" s="4" t="str">
        <f t="shared" si="0"/>
        <v>VIMSX</v>
      </c>
      <c r="E22" s="4" t="str">
        <f t="shared" si="0"/>
        <v>NAESX</v>
      </c>
      <c r="F22" s="4" t="str">
        <f t="shared" si="0"/>
        <v>VTRIX</v>
      </c>
      <c r="G22" s="4" t="str">
        <f t="shared" si="0"/>
        <v>VGTSX</v>
      </c>
      <c r="H22" s="4" t="str">
        <f t="shared" si="0"/>
        <v>VBMFX</v>
      </c>
      <c r="I22" s="5" t="s">
        <v>36</v>
      </c>
      <c r="J22" s="5" t="s">
        <v>43</v>
      </c>
      <c r="K22" s="5" t="s">
        <v>41</v>
      </c>
      <c r="L22" s="5" t="s">
        <v>41</v>
      </c>
      <c r="R22" t="str">
        <f t="shared" ref="R22:R34" si="5">A22</f>
        <v>Fund</v>
      </c>
      <c r="S22" s="4" t="str">
        <f t="shared" si="1"/>
        <v>VFINX</v>
      </c>
      <c r="T22" s="4" t="str">
        <f t="shared" si="1"/>
        <v>VEXMX</v>
      </c>
      <c r="U22" s="4" t="str">
        <f t="shared" si="1"/>
        <v>VIMSX</v>
      </c>
      <c r="V22" s="4" t="str">
        <f t="shared" si="1"/>
        <v>NAESX</v>
      </c>
      <c r="W22" s="4" t="str">
        <f t="shared" si="1"/>
        <v>VTRIX</v>
      </c>
      <c r="X22" s="4" t="str">
        <f t="shared" si="1"/>
        <v>VGTSX</v>
      </c>
      <c r="Y22" s="4" t="str">
        <f t="shared" si="1"/>
        <v>VBMFX</v>
      </c>
      <c r="Z22" s="5" t="str">
        <f t="shared" si="1"/>
        <v>Total</v>
      </c>
      <c r="AA22" s="5" t="s">
        <v>43</v>
      </c>
      <c r="AB22" s="5" t="s">
        <v>41</v>
      </c>
      <c r="AC22" s="5" t="s">
        <v>41</v>
      </c>
      <c r="AD22" s="5" t="s">
        <v>53</v>
      </c>
      <c r="AE22" s="5"/>
      <c r="AG22" t="s">
        <v>38</v>
      </c>
      <c r="AH22" s="4" t="str">
        <f t="shared" si="2"/>
        <v>VFINX</v>
      </c>
      <c r="AI22" s="4" t="str">
        <f t="shared" si="2"/>
        <v>VEXMX</v>
      </c>
      <c r="AJ22" s="4" t="str">
        <f t="shared" si="2"/>
        <v>VIMSX</v>
      </c>
      <c r="AK22" s="4" t="str">
        <f t="shared" si="2"/>
        <v>NAESX</v>
      </c>
      <c r="AL22" s="4" t="str">
        <f t="shared" si="2"/>
        <v>VTRIX</v>
      </c>
      <c r="AM22" s="4" t="str">
        <f t="shared" si="2"/>
        <v>VGTSX</v>
      </c>
      <c r="AN22" s="4" t="str">
        <f t="shared" si="2"/>
        <v>VBMFX</v>
      </c>
      <c r="AO22" s="5" t="s">
        <v>36</v>
      </c>
      <c r="AP22" s="5" t="s">
        <v>172</v>
      </c>
      <c r="AQ22" s="3" t="s">
        <v>53</v>
      </c>
      <c r="AS22" t="str">
        <f>AG22</f>
        <v>Fund</v>
      </c>
      <c r="AT22" s="4" t="str">
        <f t="shared" si="3"/>
        <v>VFINX</v>
      </c>
      <c r="AU22" s="4" t="str">
        <f t="shared" si="3"/>
        <v>VEXMX</v>
      </c>
      <c r="AV22" s="4" t="str">
        <f t="shared" si="3"/>
        <v>VIMSX</v>
      </c>
      <c r="AW22" s="4" t="str">
        <f t="shared" si="3"/>
        <v>NAESX</v>
      </c>
      <c r="AX22" s="4" t="str">
        <f t="shared" si="3"/>
        <v>VTRIX</v>
      </c>
      <c r="AY22" s="4" t="str">
        <f t="shared" si="3"/>
        <v>VGTSX</v>
      </c>
      <c r="AZ22" s="4" t="str">
        <f t="shared" si="3"/>
        <v>VBMFX</v>
      </c>
      <c r="BA22" s="4" t="str">
        <f>AO22</f>
        <v>Total</v>
      </c>
      <c r="BC22" t="s">
        <v>38</v>
      </c>
      <c r="BD22" s="4" t="str">
        <f>AT22</f>
        <v>VFINX</v>
      </c>
      <c r="BE22" s="4" t="str">
        <f t="shared" si="4"/>
        <v>VEXMX</v>
      </c>
      <c r="BF22" s="4" t="str">
        <f t="shared" si="4"/>
        <v>VIMSX</v>
      </c>
      <c r="BG22" s="4" t="str">
        <f t="shared" si="4"/>
        <v>NAESX</v>
      </c>
      <c r="BH22" s="4" t="str">
        <f t="shared" si="4"/>
        <v>VTRIX</v>
      </c>
      <c r="BI22" s="4" t="str">
        <f t="shared" si="4"/>
        <v>VGTSX</v>
      </c>
      <c r="BJ22" s="4" t="str">
        <f t="shared" si="4"/>
        <v>VBMFX</v>
      </c>
      <c r="BK22" s="4" t="str">
        <f t="shared" si="4"/>
        <v>Total</v>
      </c>
      <c r="BL22" t="s">
        <v>53</v>
      </c>
    </row>
    <row r="23" spans="1:65" x14ac:dyDescent="0.2">
      <c r="A23" t="s">
        <v>37</v>
      </c>
      <c r="B23" s="2">
        <v>100000</v>
      </c>
      <c r="C23" s="2"/>
      <c r="D23" s="2"/>
      <c r="E23" s="2"/>
      <c r="F23" s="2"/>
      <c r="G23" s="2"/>
      <c r="H23" s="2"/>
      <c r="I23" s="2">
        <f t="shared" ref="I23:I38" si="6">SUM(B23:H23)</f>
        <v>100000</v>
      </c>
      <c r="N23" s="19"/>
      <c r="R23" t="str">
        <f t="shared" si="5"/>
        <v>Stating Balance</v>
      </c>
      <c r="S23" s="2">
        <f t="shared" si="1"/>
        <v>100000</v>
      </c>
      <c r="T23" s="2"/>
      <c r="U23" s="2"/>
      <c r="V23" s="2"/>
      <c r="W23" s="2"/>
      <c r="X23" s="2"/>
      <c r="Y23" s="2"/>
      <c r="Z23" s="2">
        <f t="shared" si="1"/>
        <v>100000</v>
      </c>
      <c r="AD23" s="2"/>
      <c r="AE23" s="2"/>
      <c r="AG23" s="19" t="s">
        <v>52</v>
      </c>
      <c r="AH23" s="6">
        <f t="shared" ref="AH23:AH34" si="7">S23/$Z23</f>
        <v>1</v>
      </c>
      <c r="AI23" s="6"/>
      <c r="AJ23" s="6"/>
      <c r="AK23" s="6"/>
      <c r="AL23" s="6"/>
      <c r="AM23" s="6"/>
      <c r="AN23" s="6"/>
      <c r="AO23" s="6">
        <f>Z23/$Z23</f>
        <v>1</v>
      </c>
      <c r="AP23" s="22"/>
      <c r="AR23" s="22"/>
      <c r="AS23" s="19" t="str">
        <f>AG23</f>
        <v>Target Allocation</v>
      </c>
      <c r="AT23" s="22">
        <f>AH23</f>
        <v>1</v>
      </c>
      <c r="AU23" s="22">
        <f>AI23</f>
        <v>0</v>
      </c>
      <c r="AV23" s="22">
        <f>AJ23</f>
        <v>0</v>
      </c>
      <c r="AW23" s="22">
        <f>AK23</f>
        <v>0</v>
      </c>
      <c r="AX23" s="22"/>
      <c r="AY23" s="22">
        <f>AM23</f>
        <v>0</v>
      </c>
      <c r="AZ23" s="22">
        <f>AN23</f>
        <v>0</v>
      </c>
      <c r="BA23" s="22">
        <f>AO23</f>
        <v>1</v>
      </c>
      <c r="BC23" s="19" t="str">
        <f>AS23</f>
        <v>Target Allocation</v>
      </c>
      <c r="BD23" s="22">
        <f>AT23</f>
        <v>1</v>
      </c>
      <c r="BE23" s="22"/>
      <c r="BF23" s="67"/>
      <c r="BG23" s="67"/>
      <c r="BH23" s="67"/>
      <c r="BI23" s="67"/>
      <c r="BJ23" s="22">
        <f t="shared" si="4"/>
        <v>0</v>
      </c>
      <c r="BK23" s="22">
        <f t="shared" si="4"/>
        <v>1</v>
      </c>
      <c r="BL23" s="2"/>
    </row>
    <row r="24" spans="1:65" x14ac:dyDescent="0.2">
      <c r="A24">
        <f t="shared" ref="A24:A35" si="8">A4</f>
        <v>2007</v>
      </c>
      <c r="B24" s="2">
        <f>B23*(1+(B4/100))</f>
        <v>105390</v>
      </c>
      <c r="C24" s="2"/>
      <c r="D24" s="2"/>
      <c r="E24" s="2"/>
      <c r="F24" s="2"/>
      <c r="G24" s="2"/>
      <c r="H24" s="2"/>
      <c r="I24" s="2">
        <f t="shared" si="6"/>
        <v>105390</v>
      </c>
      <c r="J24" s="2">
        <f>I24-I23</f>
        <v>5390</v>
      </c>
      <c r="K24" s="6" t="e">
        <f>(J24/#REF!)</f>
        <v>#REF!</v>
      </c>
      <c r="L24" s="7" t="e">
        <f t="shared" ref="L24:L34" si="9">K24+1</f>
        <v>#REF!</v>
      </c>
      <c r="N24">
        <f t="shared" ref="N24:N34" si="10">A24</f>
        <v>2007</v>
      </c>
      <c r="O24" s="2">
        <f>I24*O21</f>
        <v>4742.55</v>
      </c>
      <c r="P24" s="2"/>
      <c r="Q24" s="2"/>
      <c r="R24">
        <f t="shared" si="5"/>
        <v>2007</v>
      </c>
      <c r="S24" s="2">
        <f>B24-($O24)</f>
        <v>100647.45</v>
      </c>
      <c r="T24" s="2"/>
      <c r="U24" s="2"/>
      <c r="V24" s="2"/>
      <c r="W24" s="2"/>
      <c r="X24" s="2"/>
      <c r="Y24" s="2"/>
      <c r="Z24" s="2">
        <f t="shared" ref="Z24:Z34" si="11">SUM(S24:Y24)</f>
        <v>100647.45</v>
      </c>
      <c r="AA24" s="2">
        <f>Z24-Z23</f>
        <v>647.44999999999709</v>
      </c>
      <c r="AB24" s="6">
        <f>(AA24/Z23)</f>
        <v>6.4744999999999707E-3</v>
      </c>
      <c r="AC24" s="7">
        <f t="shared" ref="AC24:AC34" si="12">AB24+1</f>
        <v>1.0064744999999999</v>
      </c>
      <c r="AD24" s="2">
        <f t="shared" ref="AD24:AD34" si="13">Z24-(I24-O24)</f>
        <v>0</v>
      </c>
      <c r="AE24" s="2"/>
      <c r="AG24">
        <f t="shared" ref="AG24:AG34" si="14">A24</f>
        <v>2007</v>
      </c>
      <c r="AH24" s="6">
        <f t="shared" si="7"/>
        <v>1</v>
      </c>
      <c r="AI24" s="6"/>
      <c r="AJ24" s="6"/>
      <c r="AK24" s="6"/>
      <c r="AL24" s="6"/>
      <c r="AM24" s="6"/>
      <c r="AN24" s="6"/>
      <c r="AO24" s="20">
        <f>SUM(AH24:AN24)</f>
        <v>1</v>
      </c>
      <c r="AP24" s="7">
        <f>SUM(AH24:AM24)</f>
        <v>1</v>
      </c>
      <c r="AQ24" s="7">
        <f>AO24-(AP24+AN24)</f>
        <v>0</v>
      </c>
      <c r="AR24" s="22"/>
      <c r="AS24">
        <f t="shared" ref="AS24:AS34" si="15">AG24</f>
        <v>2007</v>
      </c>
      <c r="AT24" s="1" t="b">
        <f>AND((S24/$Z24)&gt;0.95,(S24/$Z24)&lt;1.1)</f>
        <v>1</v>
      </c>
      <c r="AU24" s="1"/>
      <c r="AV24" s="1"/>
      <c r="AW24" s="1"/>
      <c r="AX24" s="1"/>
      <c r="AY24" s="1"/>
      <c r="AZ24" s="1"/>
      <c r="BA24" s="1" t="b">
        <f t="shared" ref="BA24:BA34" si="16">AND((Z24/$Z24)&gt;0.999,(Z24/$Z24)&lt;1.01)</f>
        <v>1</v>
      </c>
      <c r="BC24">
        <f t="shared" ref="BC24:BC34" si="17">AS24</f>
        <v>2007</v>
      </c>
      <c r="BD24" s="36">
        <f>BD$23*$Z24</f>
        <v>100647.45</v>
      </c>
      <c r="BE24" s="2"/>
      <c r="BF24" s="58"/>
      <c r="BG24" s="58"/>
      <c r="BH24" s="58"/>
      <c r="BI24" s="58"/>
      <c r="BJ24" s="58"/>
      <c r="BK24" s="2">
        <f t="shared" ref="BK24:BK34" si="18">Z24</f>
        <v>100647.45</v>
      </c>
      <c r="BL24" s="2">
        <f t="shared" ref="BL24:BL34" si="19">SUM(BD24:BJ24)-Z24</f>
        <v>0</v>
      </c>
      <c r="BM24" s="2"/>
    </row>
    <row r="25" spans="1:65" x14ac:dyDescent="0.2">
      <c r="A25">
        <f t="shared" si="8"/>
        <v>2008</v>
      </c>
      <c r="B25" s="2">
        <f t="shared" ref="B25:B35" si="20">BD24*(1+(B5/100))</f>
        <v>63387.764009999992</v>
      </c>
      <c r="C25" s="2"/>
      <c r="D25" s="2"/>
      <c r="E25" s="2"/>
      <c r="F25" s="2"/>
      <c r="G25" s="2"/>
      <c r="H25" s="2"/>
      <c r="I25" s="2">
        <f t="shared" si="6"/>
        <v>63387.764009999992</v>
      </c>
      <c r="J25" s="2">
        <f t="shared" ref="J25:J34" si="21">I25-I24</f>
        <v>-42002.235990000008</v>
      </c>
      <c r="K25" s="6">
        <f t="shared" ref="K25:K34" si="22">(J25/I24)</f>
        <v>-0.39854100000000009</v>
      </c>
      <c r="L25" s="7">
        <f t="shared" si="9"/>
        <v>0.60145899999999997</v>
      </c>
      <c r="N25">
        <f t="shared" si="10"/>
        <v>2008</v>
      </c>
      <c r="O25" s="2">
        <f t="shared" ref="O25:O35" si="23">O24*(1+O5)</f>
        <v>4742.55</v>
      </c>
      <c r="P25" s="2"/>
      <c r="Q25" s="2"/>
      <c r="R25">
        <f t="shared" si="5"/>
        <v>2008</v>
      </c>
      <c r="S25" s="2">
        <f t="shared" ref="S25:S34" si="24">B25-($O25)</f>
        <v>58645.214009999989</v>
      </c>
      <c r="T25" s="2"/>
      <c r="U25" s="2"/>
      <c r="V25" s="2"/>
      <c r="W25" s="2"/>
      <c r="X25" s="2"/>
      <c r="Y25" s="2"/>
      <c r="Z25" s="2">
        <f t="shared" si="11"/>
        <v>58645.214009999989</v>
      </c>
      <c r="AA25" s="2">
        <f t="shared" ref="AA25:AA34" si="25">Z25-Z24</f>
        <v>-42002.235990000008</v>
      </c>
      <c r="AB25" s="6">
        <f t="shared" ref="AB25:AB34" si="26">(AA25/Z24)</f>
        <v>-0.41732041884816762</v>
      </c>
      <c r="AC25" s="7">
        <f t="shared" si="12"/>
        <v>0.58267958115183238</v>
      </c>
      <c r="AD25" s="2">
        <f t="shared" si="13"/>
        <v>0</v>
      </c>
      <c r="AE25" s="2"/>
      <c r="AG25">
        <f t="shared" si="14"/>
        <v>2008</v>
      </c>
      <c r="AH25" s="6">
        <f t="shared" si="7"/>
        <v>1</v>
      </c>
      <c r="AI25" s="6"/>
      <c r="AJ25" s="6"/>
      <c r="AK25" s="6"/>
      <c r="AL25" s="6"/>
      <c r="AM25" s="6"/>
      <c r="AN25" s="6"/>
      <c r="AO25" s="20">
        <f t="shared" ref="AO25:AO28" si="27">SUM(AH25:AN25)</f>
        <v>1</v>
      </c>
      <c r="AP25" s="7">
        <f t="shared" ref="AP25:AP35" si="28">SUM(AH25:AM25)</f>
        <v>1</v>
      </c>
      <c r="AQ25" s="7">
        <f t="shared" ref="AQ25:AQ35" si="29">AO25-(AP25+AN25)</f>
        <v>0</v>
      </c>
      <c r="AR25" s="22"/>
      <c r="AS25">
        <f t="shared" si="15"/>
        <v>2008</v>
      </c>
      <c r="AT25" s="1" t="b">
        <f t="shared" ref="AT25:AT34" si="30">AND((S25/$Z25)&gt;0.95,(S25/$Z25)&lt;1.1)</f>
        <v>1</v>
      </c>
      <c r="AU25" s="1"/>
      <c r="AV25" s="1"/>
      <c r="AW25" s="1"/>
      <c r="AX25" s="1"/>
      <c r="AY25" s="1"/>
      <c r="AZ25" s="1"/>
      <c r="BA25" s="1" t="b">
        <f t="shared" si="16"/>
        <v>1</v>
      </c>
      <c r="BC25">
        <f t="shared" si="17"/>
        <v>2008</v>
      </c>
      <c r="BD25" s="36">
        <f t="shared" ref="BD25:BD37" si="31">BD$23*$Z25</f>
        <v>58645.214009999989</v>
      </c>
      <c r="BE25" s="2"/>
      <c r="BF25" s="58"/>
      <c r="BG25" s="58"/>
      <c r="BH25" s="58"/>
      <c r="BI25" s="58"/>
      <c r="BJ25" s="58"/>
      <c r="BK25" s="2">
        <f t="shared" si="18"/>
        <v>58645.214009999989</v>
      </c>
      <c r="BL25" s="2">
        <f t="shared" si="19"/>
        <v>0</v>
      </c>
      <c r="BM25" s="2"/>
    </row>
    <row r="26" spans="1:65" x14ac:dyDescent="0.2">
      <c r="A26">
        <f t="shared" si="8"/>
        <v>2009</v>
      </c>
      <c r="B26" s="2">
        <f t="shared" si="20"/>
        <v>74180.331201248977</v>
      </c>
      <c r="C26" s="2"/>
      <c r="D26" s="2"/>
      <c r="E26" s="2"/>
      <c r="F26" s="2"/>
      <c r="G26" s="2"/>
      <c r="H26" s="2"/>
      <c r="I26" s="2">
        <f t="shared" si="6"/>
        <v>74180.331201248977</v>
      </c>
      <c r="J26" s="2">
        <f t="shared" si="21"/>
        <v>10792.567191248985</v>
      </c>
      <c r="K26" s="6">
        <f t="shared" si="22"/>
        <v>0.17026262654644767</v>
      </c>
      <c r="L26" s="7">
        <f t="shared" si="9"/>
        <v>1.1702626265464477</v>
      </c>
      <c r="N26">
        <f t="shared" si="10"/>
        <v>2009</v>
      </c>
      <c r="O26" s="2">
        <f t="shared" si="23"/>
        <v>4875.3414000000002</v>
      </c>
      <c r="P26" s="2"/>
      <c r="Q26" s="2"/>
      <c r="R26">
        <f t="shared" si="5"/>
        <v>2009</v>
      </c>
      <c r="S26" s="2">
        <f t="shared" si="24"/>
        <v>69304.989801248972</v>
      </c>
      <c r="T26" s="2"/>
      <c r="U26" s="2"/>
      <c r="V26" s="2"/>
      <c r="W26" s="2"/>
      <c r="X26" s="2"/>
      <c r="Y26" s="2"/>
      <c r="Z26" s="2">
        <f t="shared" si="11"/>
        <v>69304.989801248972</v>
      </c>
      <c r="AA26" s="2">
        <f t="shared" si="25"/>
        <v>10659.775791248983</v>
      </c>
      <c r="AB26" s="6">
        <f t="shared" si="26"/>
        <v>0.18176719057468718</v>
      </c>
      <c r="AC26" s="7">
        <f t="shared" si="12"/>
        <v>1.1817671905746872</v>
      </c>
      <c r="AD26" s="2">
        <f t="shared" si="13"/>
        <v>0</v>
      </c>
      <c r="AE26" s="2"/>
      <c r="AG26">
        <f t="shared" si="14"/>
        <v>2009</v>
      </c>
      <c r="AH26" s="6">
        <f t="shared" si="7"/>
        <v>1</v>
      </c>
      <c r="AI26" s="6"/>
      <c r="AJ26" s="6"/>
      <c r="AK26" s="6"/>
      <c r="AL26" s="6"/>
      <c r="AM26" s="6"/>
      <c r="AN26" s="6"/>
      <c r="AO26" s="20">
        <f t="shared" si="27"/>
        <v>1</v>
      </c>
      <c r="AP26" s="7">
        <f t="shared" si="28"/>
        <v>1</v>
      </c>
      <c r="AQ26" s="7">
        <f t="shared" si="29"/>
        <v>0</v>
      </c>
      <c r="AR26" s="22"/>
      <c r="AS26">
        <f t="shared" si="15"/>
        <v>2009</v>
      </c>
      <c r="AT26" s="1" t="b">
        <f t="shared" si="30"/>
        <v>1</v>
      </c>
      <c r="AU26" s="1"/>
      <c r="AV26" s="1"/>
      <c r="AW26" s="1"/>
      <c r="AX26" s="1"/>
      <c r="AY26" s="1"/>
      <c r="AZ26" s="1"/>
      <c r="BA26" s="1" t="b">
        <f t="shared" si="16"/>
        <v>1</v>
      </c>
      <c r="BC26">
        <f t="shared" si="17"/>
        <v>2009</v>
      </c>
      <c r="BD26" s="36">
        <f t="shared" si="31"/>
        <v>69304.989801248972</v>
      </c>
      <c r="BE26" s="2"/>
      <c r="BF26" s="58"/>
      <c r="BG26" s="58"/>
      <c r="BH26" s="58"/>
      <c r="BI26" s="58"/>
      <c r="BJ26" s="58"/>
      <c r="BK26" s="2">
        <f t="shared" si="18"/>
        <v>69304.989801248972</v>
      </c>
      <c r="BL26" s="2">
        <f t="shared" si="19"/>
        <v>0</v>
      </c>
      <c r="BM26" s="2"/>
    </row>
    <row r="27" spans="1:65" x14ac:dyDescent="0.2">
      <c r="A27">
        <f t="shared" si="8"/>
        <v>2010</v>
      </c>
      <c r="B27" s="2">
        <f t="shared" si="20"/>
        <v>79638.363780615196</v>
      </c>
      <c r="C27" s="2"/>
      <c r="D27" s="2"/>
      <c r="E27" s="2"/>
      <c r="F27" s="2"/>
      <c r="G27" s="2"/>
      <c r="H27" s="2"/>
      <c r="I27" s="2">
        <f t="shared" si="6"/>
        <v>79638.363780615196</v>
      </c>
      <c r="J27" s="2">
        <f t="shared" si="21"/>
        <v>5458.0325793662196</v>
      </c>
      <c r="K27" s="6">
        <f t="shared" si="22"/>
        <v>7.3577894449658676E-2</v>
      </c>
      <c r="L27" s="7">
        <f t="shared" si="9"/>
        <v>1.0735778944496586</v>
      </c>
      <c r="N27">
        <f t="shared" si="10"/>
        <v>2010</v>
      </c>
      <c r="O27" s="2">
        <f t="shared" si="23"/>
        <v>4943.5961796000001</v>
      </c>
      <c r="P27" s="2"/>
      <c r="Q27" s="2"/>
      <c r="R27">
        <f t="shared" si="5"/>
        <v>2010</v>
      </c>
      <c r="S27" s="2">
        <f t="shared" si="24"/>
        <v>74694.767601015192</v>
      </c>
      <c r="T27" s="2"/>
      <c r="U27" s="2"/>
      <c r="V27" s="2"/>
      <c r="W27" s="2"/>
      <c r="X27" s="2"/>
      <c r="Y27" s="2"/>
      <c r="Z27" s="2">
        <f t="shared" si="11"/>
        <v>74694.767601015192</v>
      </c>
      <c r="AA27" s="2">
        <f t="shared" si="25"/>
        <v>5389.7777997662197</v>
      </c>
      <c r="AB27" s="6">
        <f t="shared" si="26"/>
        <v>7.7768971833382883E-2</v>
      </c>
      <c r="AC27" s="7">
        <f t="shared" si="12"/>
        <v>1.0777689718333829</v>
      </c>
      <c r="AD27" s="2">
        <f t="shared" si="13"/>
        <v>0</v>
      </c>
      <c r="AE27" s="2"/>
      <c r="AG27">
        <f t="shared" si="14"/>
        <v>2010</v>
      </c>
      <c r="AH27" s="6">
        <f t="shared" si="7"/>
        <v>1</v>
      </c>
      <c r="AI27" s="6"/>
      <c r="AJ27" s="6"/>
      <c r="AK27" s="6"/>
      <c r="AL27" s="6"/>
      <c r="AM27" s="6"/>
      <c r="AN27" s="6"/>
      <c r="AO27" s="20">
        <f t="shared" si="27"/>
        <v>1</v>
      </c>
      <c r="AP27" s="7">
        <f t="shared" si="28"/>
        <v>1</v>
      </c>
      <c r="AQ27" s="7">
        <f t="shared" si="29"/>
        <v>0</v>
      </c>
      <c r="AR27" s="22"/>
      <c r="AS27">
        <f t="shared" si="15"/>
        <v>2010</v>
      </c>
      <c r="AT27" s="1" t="b">
        <f t="shared" si="30"/>
        <v>1</v>
      </c>
      <c r="AU27" s="1"/>
      <c r="AV27" s="1"/>
      <c r="AW27" s="1"/>
      <c r="AX27" s="1"/>
      <c r="AY27" s="1"/>
      <c r="AZ27" s="1"/>
      <c r="BA27" s="1" t="b">
        <f t="shared" si="16"/>
        <v>1</v>
      </c>
      <c r="BC27">
        <f t="shared" si="17"/>
        <v>2010</v>
      </c>
      <c r="BD27" s="36">
        <f t="shared" si="31"/>
        <v>74694.767601015192</v>
      </c>
      <c r="BE27" s="2"/>
      <c r="BF27" s="58"/>
      <c r="BG27" s="58"/>
      <c r="BH27" s="58"/>
      <c r="BI27" s="58"/>
      <c r="BJ27" s="58"/>
      <c r="BK27" s="2">
        <f t="shared" si="18"/>
        <v>74694.767601015192</v>
      </c>
      <c r="BL27" s="2">
        <f t="shared" si="19"/>
        <v>0</v>
      </c>
      <c r="BM27" s="2"/>
    </row>
    <row r="28" spans="1:65" x14ac:dyDescent="0.2">
      <c r="A28">
        <f t="shared" si="8"/>
        <v>2011</v>
      </c>
      <c r="B28" s="2">
        <f t="shared" si="20"/>
        <v>76166.254522755189</v>
      </c>
      <c r="C28" s="2"/>
      <c r="D28" s="2"/>
      <c r="E28" s="2"/>
      <c r="F28" s="2"/>
      <c r="G28" s="2"/>
      <c r="H28" s="2"/>
      <c r="I28" s="2">
        <f t="shared" si="6"/>
        <v>76166.254522755189</v>
      </c>
      <c r="J28" s="2">
        <f t="shared" si="21"/>
        <v>-3472.1092578600073</v>
      </c>
      <c r="K28" s="6">
        <f t="shared" si="22"/>
        <v>-4.3598450458184258E-2</v>
      </c>
      <c r="L28" s="7">
        <f t="shared" si="9"/>
        <v>0.95640154954181578</v>
      </c>
      <c r="N28">
        <f t="shared" si="10"/>
        <v>2011</v>
      </c>
      <c r="O28" s="2">
        <f t="shared" si="23"/>
        <v>5091.9040649879998</v>
      </c>
      <c r="P28" s="2"/>
      <c r="Q28" s="2"/>
      <c r="R28">
        <f t="shared" si="5"/>
        <v>2011</v>
      </c>
      <c r="S28" s="2">
        <f t="shared" si="24"/>
        <v>71074.350457767185</v>
      </c>
      <c r="T28" s="2"/>
      <c r="U28" s="2"/>
      <c r="V28" s="2"/>
      <c r="W28" s="2"/>
      <c r="X28" s="2"/>
      <c r="Y28" s="2"/>
      <c r="Z28" s="2">
        <f t="shared" si="11"/>
        <v>71074.350457767185</v>
      </c>
      <c r="AA28" s="2">
        <f t="shared" si="25"/>
        <v>-3620.4171432480071</v>
      </c>
      <c r="AB28" s="6">
        <f t="shared" si="26"/>
        <v>-4.8469488018044266E-2</v>
      </c>
      <c r="AC28" s="7">
        <f t="shared" si="12"/>
        <v>0.95153051198195571</v>
      </c>
      <c r="AD28" s="2">
        <f t="shared" si="13"/>
        <v>0</v>
      </c>
      <c r="AE28" s="2"/>
      <c r="AG28">
        <f t="shared" si="14"/>
        <v>2011</v>
      </c>
      <c r="AH28" s="6">
        <f t="shared" si="7"/>
        <v>1</v>
      </c>
      <c r="AI28" s="6"/>
      <c r="AJ28" s="6"/>
      <c r="AK28" s="6"/>
      <c r="AL28" s="7"/>
      <c r="AM28" s="6"/>
      <c r="AN28" s="6"/>
      <c r="AO28" s="20">
        <f t="shared" si="27"/>
        <v>1</v>
      </c>
      <c r="AP28" s="7">
        <f t="shared" si="28"/>
        <v>1</v>
      </c>
      <c r="AQ28" s="7">
        <f t="shared" si="29"/>
        <v>0</v>
      </c>
      <c r="AR28" s="22"/>
      <c r="AS28">
        <f t="shared" si="15"/>
        <v>2011</v>
      </c>
      <c r="AT28" s="1" t="b">
        <f t="shared" si="30"/>
        <v>1</v>
      </c>
      <c r="AU28" s="1"/>
      <c r="AV28" s="1"/>
      <c r="AW28" s="1"/>
      <c r="AX28" s="1"/>
      <c r="AY28" s="1"/>
      <c r="AZ28" s="1"/>
      <c r="BA28" s="1" t="b">
        <f t="shared" si="16"/>
        <v>1</v>
      </c>
      <c r="BC28">
        <f t="shared" si="17"/>
        <v>2011</v>
      </c>
      <c r="BD28" s="36">
        <f t="shared" si="31"/>
        <v>71074.350457767185</v>
      </c>
      <c r="BE28" s="2"/>
      <c r="BF28" s="58"/>
      <c r="BG28" s="58"/>
      <c r="BH28" s="58"/>
      <c r="BI28" s="58"/>
      <c r="BJ28" s="58"/>
      <c r="BK28" s="2">
        <f t="shared" si="18"/>
        <v>71074.350457767185</v>
      </c>
      <c r="BL28" s="2">
        <f t="shared" si="19"/>
        <v>0</v>
      </c>
      <c r="BM28" s="2"/>
    </row>
    <row r="29" spans="1:65" x14ac:dyDescent="0.2">
      <c r="A29">
        <f t="shared" si="8"/>
        <v>2012</v>
      </c>
      <c r="B29" s="2">
        <f t="shared" si="20"/>
        <v>82318.312700185939</v>
      </c>
      <c r="C29" s="2"/>
      <c r="D29" s="2"/>
      <c r="E29" s="2"/>
      <c r="F29" s="2"/>
      <c r="G29" s="2"/>
      <c r="H29" s="2"/>
      <c r="I29" s="2">
        <f t="shared" si="6"/>
        <v>82318.312700185939</v>
      </c>
      <c r="J29" s="2">
        <f t="shared" si="21"/>
        <v>6152.0581774307502</v>
      </c>
      <c r="K29" s="6">
        <f t="shared" si="22"/>
        <v>8.0771441578406364E-2</v>
      </c>
      <c r="L29" s="7">
        <f t="shared" si="9"/>
        <v>1.0807714415784064</v>
      </c>
      <c r="N29">
        <f t="shared" si="10"/>
        <v>2012</v>
      </c>
      <c r="O29" s="2">
        <f t="shared" si="23"/>
        <v>5183.5583381577835</v>
      </c>
      <c r="P29" s="2"/>
      <c r="Q29" s="2"/>
      <c r="R29">
        <f t="shared" si="5"/>
        <v>2012</v>
      </c>
      <c r="S29" s="2">
        <f t="shared" si="24"/>
        <v>77134.75436202815</v>
      </c>
      <c r="T29" s="2"/>
      <c r="U29" s="2"/>
      <c r="V29" s="2"/>
      <c r="W29" s="2"/>
      <c r="X29" s="2"/>
      <c r="Y29" s="2"/>
      <c r="Z29" s="2">
        <f t="shared" si="11"/>
        <v>77134.75436202815</v>
      </c>
      <c r="AA29" s="2">
        <f t="shared" si="25"/>
        <v>6060.4039042609656</v>
      </c>
      <c r="AB29" s="6">
        <f t="shared" si="26"/>
        <v>8.5268509177049673E-2</v>
      </c>
      <c r="AC29" s="7">
        <f t="shared" si="12"/>
        <v>1.0852685091770498</v>
      </c>
      <c r="AD29" s="2">
        <f t="shared" si="13"/>
        <v>0</v>
      </c>
      <c r="AE29" s="2"/>
      <c r="AG29">
        <f t="shared" si="14"/>
        <v>2012</v>
      </c>
      <c r="AH29" s="6">
        <f t="shared" si="7"/>
        <v>1</v>
      </c>
      <c r="AI29" s="6"/>
      <c r="AJ29" s="6"/>
      <c r="AK29" s="6"/>
      <c r="AL29" s="7"/>
      <c r="AM29" s="6"/>
      <c r="AN29" s="6"/>
      <c r="AO29" s="20">
        <f t="shared" ref="AO29:AO34" si="32">SUM(AH29:AN29)</f>
        <v>1</v>
      </c>
      <c r="AP29" s="7">
        <f t="shared" si="28"/>
        <v>1</v>
      </c>
      <c r="AQ29" s="7">
        <f t="shared" si="29"/>
        <v>0</v>
      </c>
      <c r="AR29" s="22"/>
      <c r="AS29">
        <f t="shared" si="15"/>
        <v>2012</v>
      </c>
      <c r="AT29" s="1" t="b">
        <f t="shared" si="30"/>
        <v>1</v>
      </c>
      <c r="AU29" s="1"/>
      <c r="AV29" s="1"/>
      <c r="AW29" s="1"/>
      <c r="AX29" s="1"/>
      <c r="AY29" s="1"/>
      <c r="AZ29" s="1"/>
      <c r="BA29" s="1" t="b">
        <f t="shared" si="16"/>
        <v>1</v>
      </c>
      <c r="BC29">
        <f t="shared" si="17"/>
        <v>2012</v>
      </c>
      <c r="BD29" s="36">
        <f t="shared" si="31"/>
        <v>77134.75436202815</v>
      </c>
      <c r="BE29" s="2"/>
      <c r="BF29" s="58"/>
      <c r="BG29" s="58"/>
      <c r="BH29" s="58"/>
      <c r="BI29" s="58"/>
      <c r="BJ29" s="58"/>
      <c r="BK29" s="2">
        <f t="shared" si="18"/>
        <v>77134.75436202815</v>
      </c>
      <c r="BL29" s="2">
        <f t="shared" si="19"/>
        <v>0</v>
      </c>
      <c r="BM29" s="2"/>
    </row>
    <row r="30" spans="1:65" x14ac:dyDescent="0.2">
      <c r="A30">
        <f t="shared" si="8"/>
        <v>2013</v>
      </c>
      <c r="B30" s="2">
        <f t="shared" si="20"/>
        <v>101956.71831572881</v>
      </c>
      <c r="C30" s="2"/>
      <c r="D30" s="2"/>
      <c r="E30" s="2"/>
      <c r="F30" s="2"/>
      <c r="G30" s="2"/>
      <c r="H30" s="2"/>
      <c r="I30" s="2">
        <f t="shared" ref="I30:I31" si="33">SUM(B30:H30)</f>
        <v>101956.71831572881</v>
      </c>
      <c r="J30" s="2">
        <f t="shared" si="21"/>
        <v>19638.40561554287</v>
      </c>
      <c r="K30" s="6">
        <f t="shared" si="22"/>
        <v>0.23856666847714081</v>
      </c>
      <c r="L30" s="7">
        <f t="shared" si="9"/>
        <v>1.2385666684771408</v>
      </c>
      <c r="N30">
        <f t="shared" si="10"/>
        <v>2013</v>
      </c>
      <c r="O30" s="2">
        <f t="shared" si="23"/>
        <v>5243.4591083556279</v>
      </c>
      <c r="P30" s="2"/>
      <c r="Q30" s="2"/>
      <c r="R30">
        <f t="shared" si="5"/>
        <v>2013</v>
      </c>
      <c r="S30" s="2">
        <f t="shared" si="24"/>
        <v>96713.259207373179</v>
      </c>
      <c r="T30" s="2"/>
      <c r="U30" s="2"/>
      <c r="V30" s="2"/>
      <c r="W30" s="2"/>
      <c r="X30" s="2"/>
      <c r="Y30" s="2"/>
      <c r="Z30" s="2">
        <f t="shared" si="11"/>
        <v>96713.259207373179</v>
      </c>
      <c r="AA30" s="2">
        <f t="shared" si="25"/>
        <v>19578.504845345029</v>
      </c>
      <c r="AB30" s="6">
        <f t="shared" si="26"/>
        <v>0.25382209364995556</v>
      </c>
      <c r="AC30" s="7">
        <f t="shared" si="12"/>
        <v>1.2538220936499556</v>
      </c>
      <c r="AD30" s="2">
        <f t="shared" si="13"/>
        <v>0</v>
      </c>
      <c r="AE30" s="2"/>
      <c r="AG30">
        <f t="shared" si="14"/>
        <v>2013</v>
      </c>
      <c r="AH30" s="6">
        <f t="shared" si="7"/>
        <v>1</v>
      </c>
      <c r="AI30" s="6"/>
      <c r="AJ30" s="6"/>
      <c r="AK30" s="6"/>
      <c r="AL30" s="7"/>
      <c r="AM30" s="6"/>
      <c r="AN30" s="6"/>
      <c r="AO30" s="20">
        <f t="shared" si="32"/>
        <v>1</v>
      </c>
      <c r="AP30" s="7">
        <f t="shared" si="28"/>
        <v>1</v>
      </c>
      <c r="AQ30" s="7">
        <f t="shared" si="29"/>
        <v>0</v>
      </c>
      <c r="AR30" s="22"/>
      <c r="AS30">
        <f t="shared" si="15"/>
        <v>2013</v>
      </c>
      <c r="AT30" s="1" t="b">
        <f t="shared" si="30"/>
        <v>1</v>
      </c>
      <c r="AU30" s="1"/>
      <c r="AV30" s="1"/>
      <c r="AW30" s="1"/>
      <c r="AX30" s="1"/>
      <c r="AY30" s="1"/>
      <c r="AZ30" s="1"/>
      <c r="BA30" s="1" t="b">
        <f t="shared" si="16"/>
        <v>1</v>
      </c>
      <c r="BC30">
        <f t="shared" si="17"/>
        <v>2013</v>
      </c>
      <c r="BD30" s="36">
        <f t="shared" si="31"/>
        <v>96713.259207373179</v>
      </c>
      <c r="BE30" s="2"/>
      <c r="BF30" s="58"/>
      <c r="BG30" s="58"/>
      <c r="BH30" s="58"/>
      <c r="BI30" s="58"/>
      <c r="BJ30" s="58"/>
      <c r="BK30" s="2">
        <f t="shared" si="18"/>
        <v>96713.259207373179</v>
      </c>
      <c r="BL30" s="2">
        <f t="shared" si="19"/>
        <v>0</v>
      </c>
      <c r="BM30" s="2"/>
    </row>
    <row r="31" spans="1:65" x14ac:dyDescent="0.2">
      <c r="A31">
        <f t="shared" si="8"/>
        <v>2014</v>
      </c>
      <c r="B31" s="2">
        <f t="shared" si="20"/>
        <v>109779.2205262893</v>
      </c>
      <c r="C31" s="2"/>
      <c r="D31" s="2"/>
      <c r="E31" s="2"/>
      <c r="F31" s="2"/>
      <c r="G31" s="2"/>
      <c r="H31" s="2"/>
      <c r="I31" s="2">
        <f t="shared" si="33"/>
        <v>109779.2205262893</v>
      </c>
      <c r="J31" s="2">
        <f t="shared" si="21"/>
        <v>7822.5022105604876</v>
      </c>
      <c r="K31" s="6">
        <f t="shared" si="22"/>
        <v>7.6723754351690571E-2</v>
      </c>
      <c r="L31" s="7">
        <f t="shared" si="9"/>
        <v>1.0767237543516905</v>
      </c>
      <c r="N31">
        <f t="shared" si="10"/>
        <v>2014</v>
      </c>
      <c r="O31" s="2">
        <f t="shared" si="23"/>
        <v>5311.0997308534152</v>
      </c>
      <c r="P31" s="2"/>
      <c r="Q31" s="2"/>
      <c r="R31">
        <f t="shared" si="5"/>
        <v>2014</v>
      </c>
      <c r="S31" s="2">
        <f t="shared" si="24"/>
        <v>104468.12079543588</v>
      </c>
      <c r="T31" s="2"/>
      <c r="U31" s="2"/>
      <c r="V31" s="2"/>
      <c r="W31" s="2"/>
      <c r="X31" s="2"/>
      <c r="Y31" s="2"/>
      <c r="Z31" s="2">
        <f t="shared" si="11"/>
        <v>104468.12079543588</v>
      </c>
      <c r="AA31" s="2">
        <f t="shared" si="25"/>
        <v>7754.861588062704</v>
      </c>
      <c r="AB31" s="6">
        <f t="shared" si="26"/>
        <v>8.0184058024915503E-2</v>
      </c>
      <c r="AC31" s="7">
        <f t="shared" si="12"/>
        <v>1.0801840580249156</v>
      </c>
      <c r="AD31" s="2">
        <f t="shared" si="13"/>
        <v>0</v>
      </c>
      <c r="AE31" s="2"/>
      <c r="AG31">
        <f t="shared" si="14"/>
        <v>2014</v>
      </c>
      <c r="AH31" s="6">
        <f t="shared" si="7"/>
        <v>1</v>
      </c>
      <c r="AI31" s="6"/>
      <c r="AJ31" s="6"/>
      <c r="AK31" s="6"/>
      <c r="AL31" s="7"/>
      <c r="AM31" s="6"/>
      <c r="AN31" s="6"/>
      <c r="AO31" s="20">
        <f t="shared" si="32"/>
        <v>1</v>
      </c>
      <c r="AP31" s="7">
        <f t="shared" si="28"/>
        <v>1</v>
      </c>
      <c r="AQ31" s="7">
        <f t="shared" si="29"/>
        <v>0</v>
      </c>
      <c r="AR31" s="22"/>
      <c r="AS31">
        <f t="shared" si="15"/>
        <v>2014</v>
      </c>
      <c r="AT31" s="1" t="b">
        <f t="shared" si="30"/>
        <v>1</v>
      </c>
      <c r="AU31" s="1"/>
      <c r="AV31" s="1"/>
      <c r="AW31" s="1"/>
      <c r="AX31" s="1"/>
      <c r="AY31" s="1"/>
      <c r="AZ31" s="1"/>
      <c r="BA31" s="1" t="b">
        <f t="shared" si="16"/>
        <v>1</v>
      </c>
      <c r="BC31">
        <f t="shared" si="17"/>
        <v>2014</v>
      </c>
      <c r="BD31" s="36">
        <f t="shared" si="31"/>
        <v>104468.12079543588</v>
      </c>
      <c r="BE31" s="2"/>
      <c r="BF31" s="58"/>
      <c r="BG31" s="58"/>
      <c r="BH31" s="58"/>
      <c r="BI31" s="58"/>
      <c r="BJ31" s="58"/>
      <c r="BK31" s="2">
        <f t="shared" si="18"/>
        <v>104468.12079543588</v>
      </c>
      <c r="BL31" s="2">
        <f t="shared" si="19"/>
        <v>0</v>
      </c>
      <c r="BM31" s="2"/>
    </row>
    <row r="32" spans="1:65" x14ac:dyDescent="0.2">
      <c r="A32">
        <f t="shared" si="8"/>
        <v>2015</v>
      </c>
      <c r="B32" s="2">
        <f t="shared" si="20"/>
        <v>105773.97230537883</v>
      </c>
      <c r="C32" s="2"/>
      <c r="D32" s="2"/>
      <c r="E32" s="2"/>
      <c r="F32" s="2"/>
      <c r="G32" s="2"/>
      <c r="H32" s="2"/>
      <c r="I32" s="2">
        <f t="shared" ref="I32:I34" si="34">SUM(B32:H32)</f>
        <v>105773.97230537883</v>
      </c>
      <c r="J32" s="2">
        <f t="shared" si="21"/>
        <v>-4005.2482209104637</v>
      </c>
      <c r="K32" s="6">
        <f t="shared" si="22"/>
        <v>-3.6484575147364161E-2</v>
      </c>
      <c r="L32" s="7">
        <f t="shared" si="9"/>
        <v>0.96351542485263586</v>
      </c>
      <c r="N32">
        <f t="shared" si="10"/>
        <v>2015</v>
      </c>
      <c r="O32" s="2">
        <f t="shared" si="23"/>
        <v>5334.4685696691704</v>
      </c>
      <c r="P32" s="2"/>
      <c r="Q32" s="2"/>
      <c r="R32">
        <f t="shared" si="5"/>
        <v>2015</v>
      </c>
      <c r="S32" s="2">
        <f t="shared" si="24"/>
        <v>100439.50373570966</v>
      </c>
      <c r="T32" s="2"/>
      <c r="U32" s="2"/>
      <c r="V32" s="2"/>
      <c r="W32" s="2"/>
      <c r="X32" s="2"/>
      <c r="Y32" s="2"/>
      <c r="Z32" s="2">
        <f t="shared" si="11"/>
        <v>100439.50373570966</v>
      </c>
      <c r="AA32" s="2">
        <f t="shared" si="25"/>
        <v>-4028.6170597262244</v>
      </c>
      <c r="AB32" s="6">
        <f t="shared" si="26"/>
        <v>-3.8563123650083221E-2</v>
      </c>
      <c r="AC32" s="7">
        <f t="shared" si="12"/>
        <v>0.96143687634991681</v>
      </c>
      <c r="AD32" s="2">
        <f t="shared" si="13"/>
        <v>0</v>
      </c>
      <c r="AE32" s="2"/>
      <c r="AG32">
        <f t="shared" si="14"/>
        <v>2015</v>
      </c>
      <c r="AH32" s="6">
        <f t="shared" si="7"/>
        <v>1</v>
      </c>
      <c r="AI32" s="6"/>
      <c r="AJ32" s="6"/>
      <c r="AK32" s="6"/>
      <c r="AL32" s="7"/>
      <c r="AM32" s="6"/>
      <c r="AN32" s="6"/>
      <c r="AO32" s="20">
        <f t="shared" si="32"/>
        <v>1</v>
      </c>
      <c r="AP32" s="7">
        <f t="shared" si="28"/>
        <v>1</v>
      </c>
      <c r="AQ32" s="7">
        <f t="shared" si="29"/>
        <v>0</v>
      </c>
      <c r="AR32" s="22"/>
      <c r="AS32">
        <f t="shared" si="15"/>
        <v>2015</v>
      </c>
      <c r="AT32" s="1" t="b">
        <f t="shared" si="30"/>
        <v>1</v>
      </c>
      <c r="AU32" s="1"/>
      <c r="AV32" s="1"/>
      <c r="AW32" s="1"/>
      <c r="AX32" s="1"/>
      <c r="AY32" s="1"/>
      <c r="AZ32" s="1"/>
      <c r="BA32" s="1" t="b">
        <f t="shared" si="16"/>
        <v>1</v>
      </c>
      <c r="BC32">
        <f t="shared" si="17"/>
        <v>2015</v>
      </c>
      <c r="BD32" s="36">
        <f t="shared" si="31"/>
        <v>100439.50373570966</v>
      </c>
      <c r="BE32" s="2"/>
      <c r="BF32" s="58"/>
      <c r="BG32" s="58"/>
      <c r="BH32" s="58"/>
      <c r="BI32" s="58"/>
      <c r="BJ32" s="58"/>
      <c r="BK32" s="2">
        <f t="shared" si="18"/>
        <v>100439.50373570966</v>
      </c>
      <c r="BL32" s="2">
        <f t="shared" si="19"/>
        <v>0</v>
      </c>
      <c r="BM32" s="2"/>
    </row>
    <row r="33" spans="1:65" x14ac:dyDescent="0.2">
      <c r="A33">
        <f t="shared" si="8"/>
        <v>2016</v>
      </c>
      <c r="B33" s="2">
        <f t="shared" si="20"/>
        <v>112311.45307727055</v>
      </c>
      <c r="C33" s="2"/>
      <c r="D33" s="2"/>
      <c r="E33" s="2"/>
      <c r="F33" s="2"/>
      <c r="G33" s="2"/>
      <c r="H33" s="2"/>
      <c r="I33" s="2">
        <f t="shared" si="34"/>
        <v>112311.45307727055</v>
      </c>
      <c r="J33" s="2">
        <f t="shared" si="21"/>
        <v>6537.4807718917145</v>
      </c>
      <c r="K33" s="6">
        <f t="shared" si="22"/>
        <v>6.1806138404421722E-2</v>
      </c>
      <c r="L33" s="7">
        <f t="shared" si="9"/>
        <v>1.0618061384044217</v>
      </c>
      <c r="N33">
        <f t="shared" si="10"/>
        <v>2016</v>
      </c>
      <c r="O33" s="2">
        <f t="shared" si="23"/>
        <v>5425.1545353535457</v>
      </c>
      <c r="P33" s="2"/>
      <c r="Q33" s="2"/>
      <c r="R33">
        <f t="shared" si="5"/>
        <v>2016</v>
      </c>
      <c r="S33" s="2">
        <f t="shared" si="24"/>
        <v>106886.298541917</v>
      </c>
      <c r="T33" s="2"/>
      <c r="U33" s="2"/>
      <c r="V33" s="2"/>
      <c r="W33" s="2"/>
      <c r="X33" s="2"/>
      <c r="Y33" s="2"/>
      <c r="Z33" s="2">
        <f t="shared" si="11"/>
        <v>106886.298541917</v>
      </c>
      <c r="AA33" s="2">
        <f t="shared" si="25"/>
        <v>6446.794806207341</v>
      </c>
      <c r="AB33" s="6">
        <f t="shared" si="26"/>
        <v>6.4185848858543157E-2</v>
      </c>
      <c r="AC33" s="7">
        <f t="shared" si="12"/>
        <v>1.0641858488585432</v>
      </c>
      <c r="AD33" s="2">
        <f t="shared" si="13"/>
        <v>0</v>
      </c>
      <c r="AE33" s="2"/>
      <c r="AG33">
        <f t="shared" si="14"/>
        <v>2016</v>
      </c>
      <c r="AH33" s="6">
        <f t="shared" si="7"/>
        <v>1</v>
      </c>
      <c r="AI33" s="6"/>
      <c r="AJ33" s="6"/>
      <c r="AK33" s="6"/>
      <c r="AL33" s="7"/>
      <c r="AM33" s="6"/>
      <c r="AN33" s="6"/>
      <c r="AO33" s="20">
        <f t="shared" si="32"/>
        <v>1</v>
      </c>
      <c r="AP33" s="7">
        <f t="shared" si="28"/>
        <v>1</v>
      </c>
      <c r="AQ33" s="7">
        <f t="shared" si="29"/>
        <v>0</v>
      </c>
      <c r="AR33" s="22"/>
      <c r="AS33">
        <f t="shared" si="15"/>
        <v>2016</v>
      </c>
      <c r="AT33" s="1" t="b">
        <f t="shared" si="30"/>
        <v>1</v>
      </c>
      <c r="AU33" s="1"/>
      <c r="AV33" s="1"/>
      <c r="AW33" s="1"/>
      <c r="AX33" s="1"/>
      <c r="AY33" s="1"/>
      <c r="AZ33" s="1"/>
      <c r="BA33" s="1" t="b">
        <f t="shared" si="16"/>
        <v>1</v>
      </c>
      <c r="BC33">
        <f t="shared" si="17"/>
        <v>2016</v>
      </c>
      <c r="BD33" s="36">
        <f t="shared" si="31"/>
        <v>106886.298541917</v>
      </c>
      <c r="BE33" s="2"/>
      <c r="BF33" s="58"/>
      <c r="BG33" s="58"/>
      <c r="BH33" s="58"/>
      <c r="BI33" s="58"/>
      <c r="BJ33" s="58"/>
      <c r="BK33" s="2">
        <f t="shared" si="18"/>
        <v>106886.298541917</v>
      </c>
      <c r="BL33" s="2">
        <f t="shared" si="19"/>
        <v>0</v>
      </c>
      <c r="BM33" s="2"/>
    </row>
    <row r="34" spans="1:65" x14ac:dyDescent="0.2">
      <c r="A34">
        <f t="shared" si="8"/>
        <v>2017</v>
      </c>
      <c r="B34" s="2">
        <f t="shared" si="20"/>
        <v>130048.5594359504</v>
      </c>
      <c r="C34" s="2"/>
      <c r="D34" s="2"/>
      <c r="E34" s="2"/>
      <c r="F34" s="2"/>
      <c r="G34" s="2"/>
      <c r="H34" s="2"/>
      <c r="I34" s="2">
        <f t="shared" si="34"/>
        <v>130048.5594359504</v>
      </c>
      <c r="J34" s="2">
        <f t="shared" si="21"/>
        <v>17737.106358679855</v>
      </c>
      <c r="K34" s="6">
        <f t="shared" si="22"/>
        <v>0.15792785039008161</v>
      </c>
      <c r="L34" s="7">
        <f t="shared" si="9"/>
        <v>1.1579278503900816</v>
      </c>
      <c r="N34">
        <f t="shared" si="10"/>
        <v>2017</v>
      </c>
      <c r="O34" s="2">
        <f t="shared" si="23"/>
        <v>5546.1354814919296</v>
      </c>
      <c r="P34" s="2"/>
      <c r="Q34" s="2"/>
      <c r="R34">
        <f t="shared" si="5"/>
        <v>2017</v>
      </c>
      <c r="S34" s="2">
        <f t="shared" si="24"/>
        <v>124502.42395445847</v>
      </c>
      <c r="T34" s="2"/>
      <c r="U34" s="2"/>
      <c r="V34" s="2"/>
      <c r="W34" s="2"/>
      <c r="X34" s="2"/>
      <c r="Y34" s="2"/>
      <c r="Z34" s="2">
        <f t="shared" si="11"/>
        <v>124502.42395445847</v>
      </c>
      <c r="AA34" s="2">
        <f t="shared" si="25"/>
        <v>17616.125412541471</v>
      </c>
      <c r="AB34" s="6">
        <f t="shared" si="26"/>
        <v>0.16481182015703399</v>
      </c>
      <c r="AC34" s="7">
        <f t="shared" si="12"/>
        <v>1.1648118201570341</v>
      </c>
      <c r="AD34" s="2">
        <f t="shared" si="13"/>
        <v>0</v>
      </c>
      <c r="AE34" s="2"/>
      <c r="AG34">
        <f t="shared" si="14"/>
        <v>2017</v>
      </c>
      <c r="AH34" s="6">
        <f t="shared" si="7"/>
        <v>1</v>
      </c>
      <c r="AI34" s="6"/>
      <c r="AJ34" s="6"/>
      <c r="AK34" s="6"/>
      <c r="AL34" s="7"/>
      <c r="AM34" s="6"/>
      <c r="AN34" s="6"/>
      <c r="AO34" s="20">
        <f t="shared" si="32"/>
        <v>1</v>
      </c>
      <c r="AP34" s="7">
        <f t="shared" si="28"/>
        <v>1</v>
      </c>
      <c r="AQ34" s="7">
        <f t="shared" si="29"/>
        <v>0</v>
      </c>
      <c r="AR34" s="22"/>
      <c r="AS34">
        <f t="shared" si="15"/>
        <v>2017</v>
      </c>
      <c r="AT34" s="1" t="b">
        <f t="shared" si="30"/>
        <v>1</v>
      </c>
      <c r="AU34" s="1"/>
      <c r="AV34" s="1"/>
      <c r="AW34" s="1"/>
      <c r="AX34" s="1"/>
      <c r="AY34" s="1"/>
      <c r="AZ34" s="1"/>
      <c r="BA34" s="1" t="b">
        <f t="shared" si="16"/>
        <v>1</v>
      </c>
      <c r="BC34">
        <f t="shared" si="17"/>
        <v>2017</v>
      </c>
      <c r="BD34" s="36">
        <f t="shared" si="31"/>
        <v>124502.42395445847</v>
      </c>
      <c r="BE34" s="2"/>
      <c r="BF34" s="58"/>
      <c r="BG34" s="58"/>
      <c r="BH34" s="58"/>
      <c r="BI34" s="58"/>
      <c r="BJ34" s="58"/>
      <c r="BK34" s="2">
        <f t="shared" si="18"/>
        <v>124502.42395445847</v>
      </c>
      <c r="BL34" s="2">
        <f t="shared" si="19"/>
        <v>0</v>
      </c>
      <c r="BM34" s="2"/>
    </row>
    <row r="35" spans="1:65" x14ac:dyDescent="0.2">
      <c r="A35">
        <f t="shared" si="8"/>
        <v>2018</v>
      </c>
      <c r="B35" s="2">
        <f t="shared" si="20"/>
        <v>118899.81487650784</v>
      </c>
      <c r="C35" s="2"/>
      <c r="D35" s="2"/>
      <c r="E35" s="2"/>
      <c r="F35" s="2"/>
      <c r="G35" s="2"/>
      <c r="H35" s="2"/>
      <c r="I35" s="2">
        <f t="shared" ref="I35" si="35">SUM(B35:H35)</f>
        <v>118899.81487650784</v>
      </c>
      <c r="J35" s="2">
        <f t="shared" ref="J35" si="36">I35-I34</f>
        <v>-11148.744559442566</v>
      </c>
      <c r="K35" s="6">
        <f t="shared" ref="K35" si="37">(J35/I34)</f>
        <v>-8.5727551368482341E-2</v>
      </c>
      <c r="L35" s="7">
        <f t="shared" ref="L35" si="38">K35+1</f>
        <v>0.91427244863151769</v>
      </c>
      <c r="N35">
        <f t="shared" ref="N35" si="39">A35</f>
        <v>2018</v>
      </c>
      <c r="O35" s="2">
        <f t="shared" si="23"/>
        <v>5668.6426877453032</v>
      </c>
      <c r="P35" s="2"/>
      <c r="Q35" s="2"/>
      <c r="R35">
        <f t="shared" ref="R35" si="40">A35</f>
        <v>2018</v>
      </c>
      <c r="S35" s="2">
        <f t="shared" ref="S35" si="41">B35-($O35)</f>
        <v>113231.17218876253</v>
      </c>
      <c r="T35" s="2"/>
      <c r="U35" s="2"/>
      <c r="V35" s="2"/>
      <c r="W35" s="2"/>
      <c r="X35" s="2"/>
      <c r="Y35" s="2"/>
      <c r="Z35" s="2">
        <f t="shared" ref="Z35" si="42">SUM(S35:Y35)</f>
        <v>113231.17218876253</v>
      </c>
      <c r="AA35" s="2">
        <f t="shared" ref="AA35" si="43">Z35-Z34</f>
        <v>-11271.251765695939</v>
      </c>
      <c r="AB35" s="6">
        <f t="shared" ref="AB35" si="44">(AA35/Z34)</f>
        <v>-9.0530380113874973E-2</v>
      </c>
      <c r="AC35" s="7">
        <f t="shared" ref="AC35" si="45">AB35+1</f>
        <v>0.90946961988612507</v>
      </c>
      <c r="AD35" s="2">
        <f t="shared" ref="AD35" si="46">Z35-(I35-O35)</f>
        <v>0</v>
      </c>
      <c r="AE35" s="2"/>
      <c r="AG35">
        <f t="shared" ref="AG35" si="47">A35</f>
        <v>2018</v>
      </c>
      <c r="AH35" s="6">
        <f t="shared" ref="AH35" si="48">S35/$Z35</f>
        <v>1</v>
      </c>
      <c r="AI35" s="6"/>
      <c r="AJ35" s="6"/>
      <c r="AK35" s="6"/>
      <c r="AL35" s="7"/>
      <c r="AM35" s="6"/>
      <c r="AN35" s="6"/>
      <c r="AO35" s="20">
        <f t="shared" ref="AO35" si="49">SUM(AH35:AN35)</f>
        <v>1</v>
      </c>
      <c r="AP35" s="7">
        <f t="shared" si="28"/>
        <v>1</v>
      </c>
      <c r="AQ35" s="7">
        <f t="shared" si="29"/>
        <v>0</v>
      </c>
      <c r="AR35" s="22"/>
      <c r="AS35">
        <f t="shared" ref="AS35" si="50">AG35</f>
        <v>2018</v>
      </c>
      <c r="AT35" s="1" t="b">
        <f t="shared" ref="AT35" si="51">AND((S35/$Z35)&gt;0.95,(S35/$Z35)&lt;1.1)</f>
        <v>1</v>
      </c>
      <c r="AU35" s="1"/>
      <c r="AV35" s="1"/>
      <c r="AW35" s="1"/>
      <c r="AX35" s="1"/>
      <c r="AY35" s="1"/>
      <c r="AZ35" s="1"/>
      <c r="BA35" s="1" t="b">
        <f t="shared" ref="BA35" si="52">AND((Z35/$Z35)&gt;0.999,(Z35/$Z35)&lt;1.01)</f>
        <v>1</v>
      </c>
      <c r="BC35">
        <f t="shared" ref="BC35" si="53">AS35</f>
        <v>2018</v>
      </c>
      <c r="BD35" s="36">
        <f t="shared" si="31"/>
        <v>113231.17218876253</v>
      </c>
      <c r="BE35" s="2"/>
      <c r="BF35" s="58"/>
      <c r="BG35" s="58"/>
      <c r="BH35" s="58"/>
      <c r="BI35" s="58"/>
      <c r="BJ35" s="58"/>
      <c r="BK35" s="2">
        <f t="shared" ref="BK35" si="54">Z35</f>
        <v>113231.17218876253</v>
      </c>
      <c r="BL35" s="2">
        <f t="shared" ref="BL35" si="55">SUM(BD35:BJ35)-Z35</f>
        <v>0</v>
      </c>
      <c r="BM35" s="2"/>
    </row>
    <row r="36" spans="1:65" x14ac:dyDescent="0.2">
      <c r="A36">
        <f t="shared" ref="A36:A37" si="56">A16</f>
        <v>2019</v>
      </c>
      <c r="B36" s="2">
        <f t="shared" ref="B36:B37" si="57">BD35*(1+(B16/100))</f>
        <v>148849.16971245967</v>
      </c>
      <c r="C36" s="2"/>
      <c r="D36" s="2"/>
      <c r="E36" s="2"/>
      <c r="F36" s="2"/>
      <c r="G36" s="2"/>
      <c r="H36" s="2"/>
      <c r="I36" s="2">
        <f t="shared" ref="I36:I37" si="58">SUM(B36:H36)</f>
        <v>148849.16971245967</v>
      </c>
      <c r="J36" s="2">
        <f t="shared" ref="J36:J37" si="59">I36-I35</f>
        <v>29949.354835951832</v>
      </c>
      <c r="K36" s="6">
        <f t="shared" ref="K36:K37" si="60">(J36/I35)</f>
        <v>0.25188731258377434</v>
      </c>
      <c r="L36" s="7">
        <f t="shared" ref="L36:L37" si="61">K36+1</f>
        <v>1.2518873125837744</v>
      </c>
      <c r="N36">
        <f t="shared" ref="N36:N37" si="62">A36</f>
        <v>2019</v>
      </c>
      <c r="O36" s="2">
        <f t="shared" ref="O36:O37" si="63">O35*(1+O16)</f>
        <v>5798.2447320776037</v>
      </c>
      <c r="P36" s="2"/>
      <c r="Q36" s="2"/>
      <c r="R36">
        <f t="shared" ref="R36:R37" si="64">A36</f>
        <v>2019</v>
      </c>
      <c r="S36" s="2">
        <f t="shared" ref="S36:S37" si="65">B36-($O36)</f>
        <v>143050.92498038206</v>
      </c>
      <c r="T36" s="2"/>
      <c r="U36" s="2"/>
      <c r="V36" s="2"/>
      <c r="W36" s="2"/>
      <c r="X36" s="2"/>
      <c r="Y36" s="2"/>
      <c r="Z36" s="2">
        <f t="shared" ref="Z36:Z37" si="66">SUM(S36:Y36)</f>
        <v>143050.92498038206</v>
      </c>
      <c r="AA36" s="2">
        <f t="shared" ref="AA36:AA37" si="67">Z36-Z35</f>
        <v>29819.752791619525</v>
      </c>
      <c r="AB36" s="6">
        <f t="shared" ref="AB36:AB37" si="68">(AA36/Z35)</f>
        <v>0.26335285783236767</v>
      </c>
      <c r="AC36" s="7">
        <f t="shared" ref="AC36:AC37" si="69">AB36+1</f>
        <v>1.2633528578323676</v>
      </c>
      <c r="AD36" s="2">
        <f t="shared" ref="AD36:AD37" si="70">Z36-(I36-O36)</f>
        <v>0</v>
      </c>
      <c r="AE36" s="2"/>
      <c r="AG36">
        <f t="shared" ref="AG36:AG37" si="71">A36</f>
        <v>2019</v>
      </c>
      <c r="AH36" s="6">
        <f t="shared" ref="AH36:AH37" si="72">S36/$Z36</f>
        <v>1</v>
      </c>
      <c r="AI36" s="6"/>
      <c r="AJ36" s="6"/>
      <c r="AK36" s="6"/>
      <c r="AL36" s="7"/>
      <c r="AM36" s="6"/>
      <c r="AN36" s="6"/>
      <c r="AO36" s="20">
        <f t="shared" ref="AO36:AO37" si="73">SUM(AH36:AN36)</f>
        <v>1</v>
      </c>
      <c r="AP36" s="7">
        <f t="shared" ref="AP36:AP37" si="74">SUM(AH36:AM36)</f>
        <v>1</v>
      </c>
      <c r="AQ36" s="7">
        <f t="shared" ref="AQ36:AQ37" si="75">AO36-(AP36+AN36)</f>
        <v>0</v>
      </c>
      <c r="AR36" s="22"/>
      <c r="AS36">
        <f t="shared" ref="AS36:AS37" si="76">AG36</f>
        <v>2019</v>
      </c>
      <c r="AT36" s="1" t="b">
        <f t="shared" ref="AT36:AT37" si="77">AND((S36/$Z36)&gt;0.95,(S36/$Z36)&lt;1.1)</f>
        <v>1</v>
      </c>
      <c r="AU36" s="1"/>
      <c r="AV36" s="1"/>
      <c r="AW36" s="1"/>
      <c r="AX36" s="1"/>
      <c r="AY36" s="1"/>
      <c r="AZ36" s="1"/>
      <c r="BA36" s="1" t="b">
        <f t="shared" ref="BA36:BA37" si="78">AND((Z36/$Z36)&gt;0.999,(Z36/$Z36)&lt;1.01)</f>
        <v>1</v>
      </c>
      <c r="BC36">
        <f t="shared" ref="BC36:BC37" si="79">AS36</f>
        <v>2019</v>
      </c>
      <c r="BD36" s="36">
        <f t="shared" si="31"/>
        <v>143050.92498038206</v>
      </c>
      <c r="BE36" s="2"/>
      <c r="BF36" s="58"/>
      <c r="BG36" s="58"/>
      <c r="BH36" s="58"/>
      <c r="BI36" s="58"/>
      <c r="BJ36" s="58"/>
      <c r="BK36" s="2">
        <f t="shared" ref="BK36:BK37" si="80">Z36</f>
        <v>143050.92498038206</v>
      </c>
      <c r="BL36" s="2">
        <f t="shared" ref="BL36:BL37" si="81">SUM(BD36:BJ36)-Z36</f>
        <v>0</v>
      </c>
      <c r="BM36" s="2"/>
    </row>
    <row r="37" spans="1:65" x14ac:dyDescent="0.2">
      <c r="A37">
        <f t="shared" si="56"/>
        <v>2020</v>
      </c>
      <c r="B37" s="2">
        <f t="shared" si="57"/>
        <v>169329.37989927822</v>
      </c>
      <c r="C37" s="2"/>
      <c r="D37" s="2"/>
      <c r="E37" s="2"/>
      <c r="F37" s="2"/>
      <c r="G37" s="2"/>
      <c r="H37" s="2"/>
      <c r="I37" s="2">
        <f t="shared" si="58"/>
        <v>169329.37989927822</v>
      </c>
      <c r="J37" s="2">
        <f t="shared" si="59"/>
        <v>20480.210186818556</v>
      </c>
      <c r="K37" s="6">
        <f t="shared" si="60"/>
        <v>0.13759035556853513</v>
      </c>
      <c r="L37" s="7">
        <f t="shared" si="61"/>
        <v>1.1375903555685352</v>
      </c>
      <c r="N37">
        <f t="shared" si="62"/>
        <v>2020</v>
      </c>
      <c r="O37" s="2">
        <f t="shared" si="63"/>
        <v>5798.2447320776037</v>
      </c>
      <c r="P37" s="2"/>
      <c r="Q37" s="2"/>
      <c r="R37">
        <f t="shared" si="64"/>
        <v>2020</v>
      </c>
      <c r="S37" s="2">
        <f t="shared" si="65"/>
        <v>163531.13516720061</v>
      </c>
      <c r="T37" s="2"/>
      <c r="U37" s="2"/>
      <c r="V37" s="2"/>
      <c r="W37" s="2"/>
      <c r="X37" s="2"/>
      <c r="Y37" s="2"/>
      <c r="Z37" s="2">
        <f t="shared" si="66"/>
        <v>163531.13516720061</v>
      </c>
      <c r="AA37" s="2">
        <f t="shared" si="67"/>
        <v>20480.210186818556</v>
      </c>
      <c r="AB37" s="6">
        <f t="shared" si="68"/>
        <v>0.14316726850684261</v>
      </c>
      <c r="AC37" s="7">
        <f t="shared" si="69"/>
        <v>1.1431672685068426</v>
      </c>
      <c r="AD37" s="2">
        <f t="shared" si="70"/>
        <v>0</v>
      </c>
      <c r="AE37" s="2"/>
      <c r="AG37">
        <f t="shared" si="71"/>
        <v>2020</v>
      </c>
      <c r="AH37" s="6">
        <f t="shared" si="72"/>
        <v>1</v>
      </c>
      <c r="AI37" s="6"/>
      <c r="AJ37" s="6"/>
      <c r="AK37" s="6"/>
      <c r="AL37" s="7"/>
      <c r="AM37" s="6"/>
      <c r="AN37" s="6"/>
      <c r="AO37" s="20">
        <f t="shared" si="73"/>
        <v>1</v>
      </c>
      <c r="AP37" s="7">
        <f t="shared" si="74"/>
        <v>1</v>
      </c>
      <c r="AQ37" s="7">
        <f t="shared" si="75"/>
        <v>0</v>
      </c>
      <c r="AR37" s="22"/>
      <c r="AS37">
        <f t="shared" si="76"/>
        <v>2020</v>
      </c>
      <c r="AT37" s="1" t="b">
        <f t="shared" si="77"/>
        <v>1</v>
      </c>
      <c r="AU37" s="1"/>
      <c r="AV37" s="1"/>
      <c r="AW37" s="1"/>
      <c r="AX37" s="1"/>
      <c r="AY37" s="1"/>
      <c r="AZ37" s="1"/>
      <c r="BA37" s="1" t="b">
        <f t="shared" si="78"/>
        <v>1</v>
      </c>
      <c r="BC37">
        <f t="shared" si="79"/>
        <v>2020</v>
      </c>
      <c r="BD37" s="36">
        <f t="shared" si="31"/>
        <v>163531.13516720061</v>
      </c>
      <c r="BE37" s="2"/>
      <c r="BF37" s="58"/>
      <c r="BG37" s="58"/>
      <c r="BH37" s="58"/>
      <c r="BI37" s="58"/>
      <c r="BJ37" s="58"/>
      <c r="BK37" s="2">
        <f t="shared" si="80"/>
        <v>163531.13516720061</v>
      </c>
      <c r="BL37" s="2">
        <f t="shared" si="81"/>
        <v>0</v>
      </c>
      <c r="BM37" s="2"/>
    </row>
    <row r="38" spans="1:65" x14ac:dyDescent="0.2">
      <c r="A38" s="9" t="s">
        <v>44</v>
      </c>
      <c r="B38" s="10">
        <f>BD37</f>
        <v>163531.13516720061</v>
      </c>
      <c r="C38" s="10"/>
      <c r="D38" s="10"/>
      <c r="E38" s="10"/>
      <c r="F38" s="10"/>
      <c r="G38" s="10"/>
      <c r="H38" s="10"/>
      <c r="I38" s="10">
        <f t="shared" si="6"/>
        <v>163531.13516720061</v>
      </c>
      <c r="J38" s="10"/>
      <c r="K38" s="10"/>
      <c r="N38" t="s">
        <v>75</v>
      </c>
      <c r="O38" s="2">
        <f>O37</f>
        <v>5798.2447320776037</v>
      </c>
      <c r="P38" s="2"/>
      <c r="R38" s="9" t="s">
        <v>44</v>
      </c>
      <c r="S38" s="10">
        <f>S37</f>
        <v>163531.13516720061</v>
      </c>
      <c r="T38" s="10"/>
      <c r="U38" s="10"/>
      <c r="V38" s="10"/>
      <c r="W38" s="10"/>
      <c r="X38" s="10"/>
      <c r="Y38" s="10"/>
      <c r="Z38" s="10">
        <f>Z37</f>
        <v>163531.13516720061</v>
      </c>
      <c r="AA38" s="10"/>
      <c r="AB38" s="10"/>
      <c r="AD38" s="40"/>
      <c r="AE38" s="40"/>
      <c r="AG38" s="68" t="s">
        <v>169</v>
      </c>
      <c r="AH38" s="69">
        <f>AH37</f>
        <v>1</v>
      </c>
      <c r="AI38" s="68"/>
      <c r="AJ38" s="69"/>
      <c r="AK38" s="68"/>
      <c r="AL38" s="68"/>
      <c r="AM38" s="69"/>
      <c r="AN38" s="69"/>
      <c r="AO38" s="69">
        <f>AO37</f>
        <v>1</v>
      </c>
      <c r="AP38" s="69">
        <f>AP37</f>
        <v>1</v>
      </c>
    </row>
    <row r="39" spans="1:65" x14ac:dyDescent="0.2">
      <c r="A39" s="11" t="s">
        <v>88</v>
      </c>
      <c r="I39" s="6">
        <f>(Z38-Z23)/Z23</f>
        <v>0.63531135167200614</v>
      </c>
      <c r="K39" s="6"/>
      <c r="N39" t="s">
        <v>36</v>
      </c>
      <c r="O39" s="2">
        <f>SUM(O24:O37)</f>
        <v>73704.949560369976</v>
      </c>
      <c r="P39" s="2"/>
      <c r="AB39" s="6"/>
      <c r="AJ39" s="7"/>
    </row>
    <row r="40" spans="1:65" x14ac:dyDescent="0.2">
      <c r="A40" s="1" t="s">
        <v>89</v>
      </c>
      <c r="I40" s="12">
        <f>STDEV(AC24:AC34)</f>
        <v>0.17642392132787477</v>
      </c>
      <c r="AK40" s="70"/>
      <c r="AL40" s="70"/>
      <c r="AM40" s="71" t="s">
        <v>170</v>
      </c>
      <c r="AN40" s="70" t="b">
        <f>IF((AN37=AN38),TRUE,FALSE)</f>
        <v>1</v>
      </c>
      <c r="AO40" s="70"/>
      <c r="AP40" s="72" t="b">
        <f>IF(((SUM(AH37:AM37))=AP38),TRUE,FALSE)</f>
        <v>1</v>
      </c>
    </row>
    <row r="41" spans="1:65" x14ac:dyDescent="0.2">
      <c r="A41" s="1" t="s">
        <v>90</v>
      </c>
      <c r="I41" s="13">
        <f>((1+I39)^(1/I48))-1</f>
        <v>3.5755325819613715E-2</v>
      </c>
    </row>
    <row r="42" spans="1:65" x14ac:dyDescent="0.2">
      <c r="A42" s="1" t="s">
        <v>48</v>
      </c>
      <c r="I42" s="27">
        <f>AA25</f>
        <v>-42002.235990000008</v>
      </c>
      <c r="O42" s="2"/>
      <c r="P42" s="2"/>
    </row>
    <row r="43" spans="1:65" x14ac:dyDescent="0.2">
      <c r="A43" s="1" t="s">
        <v>49</v>
      </c>
      <c r="I43" s="28">
        <f>AB25</f>
        <v>-0.41732041884816762</v>
      </c>
    </row>
    <row r="44" spans="1:65" x14ac:dyDescent="0.2">
      <c r="A44" s="1" t="s">
        <v>77</v>
      </c>
      <c r="I44" s="2">
        <f>O39</f>
        <v>73704.949560369976</v>
      </c>
    </row>
    <row r="45" spans="1:65" x14ac:dyDescent="0.2">
      <c r="A45" s="3" t="s">
        <v>50</v>
      </c>
      <c r="I45" s="29">
        <f>I38-Z37</f>
        <v>0</v>
      </c>
    </row>
    <row r="46" spans="1:65" x14ac:dyDescent="0.2">
      <c r="A46" s="3" t="s">
        <v>134</v>
      </c>
      <c r="I46" s="29">
        <f>((SUM(AA24:AA37)))-(I38-I23)</f>
        <v>0</v>
      </c>
    </row>
    <row r="47" spans="1:65" x14ac:dyDescent="0.2">
      <c r="A47" s="3" t="s">
        <v>135</v>
      </c>
      <c r="I47" s="29">
        <f>(SUM(O24:O37))-I44</f>
        <v>0</v>
      </c>
    </row>
    <row r="48" spans="1:65" x14ac:dyDescent="0.2">
      <c r="A48" s="3" t="s">
        <v>139</v>
      </c>
      <c r="I48" s="3">
        <f>COUNTA(I24:I37)</f>
        <v>14</v>
      </c>
    </row>
    <row r="49" spans="1:9" x14ac:dyDescent="0.2">
      <c r="A49" s="80" t="s">
        <v>91</v>
      </c>
      <c r="B49" s="2"/>
      <c r="C49" s="2"/>
      <c r="D49" s="2"/>
      <c r="E49" s="2"/>
      <c r="G49" s="2"/>
      <c r="H49" s="2"/>
      <c r="I49" s="81">
        <f>AP38</f>
        <v>1</v>
      </c>
    </row>
    <row r="50" spans="1:9" x14ac:dyDescent="0.2">
      <c r="A50" s="80" t="s">
        <v>174</v>
      </c>
      <c r="B50" s="2"/>
      <c r="D50" s="2"/>
      <c r="E50" s="2"/>
      <c r="G50" s="2"/>
      <c r="H50" s="2"/>
      <c r="I50" s="81">
        <f>AN38</f>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46"/>
  <sheetViews>
    <sheetView topLeftCell="A30" workbookViewId="0">
      <selection activeCell="A36" sqref="A36"/>
    </sheetView>
  </sheetViews>
  <sheetFormatPr baseColWidth="10" defaultColWidth="8.83203125" defaultRowHeight="15" x14ac:dyDescent="0.2"/>
  <cols>
    <col min="1" max="1" width="25.5" customWidth="1"/>
    <col min="9" max="9" width="11.6640625" customWidth="1"/>
    <col min="10" max="10" width="10" bestFit="1" customWidth="1"/>
    <col min="15" max="15" width="9.83203125" bestFit="1" customWidth="1"/>
    <col min="16" max="16" width="9.83203125" customWidth="1"/>
    <col min="19" max="19" width="10.83203125" bestFit="1" customWidth="1"/>
    <col min="21" max="21" width="11.83203125" bestFit="1" customWidth="1"/>
    <col min="26" max="26" width="10.83203125" bestFit="1" customWidth="1"/>
    <col min="27" max="31" width="10.83203125" customWidth="1"/>
  </cols>
  <sheetData>
    <row r="1" spans="1:16" x14ac:dyDescent="0.2">
      <c r="A1" s="18" t="s">
        <v>17</v>
      </c>
      <c r="N1" s="63" t="s">
        <v>131</v>
      </c>
      <c r="O1" s="42"/>
    </row>
    <row r="2" spans="1:16" x14ac:dyDescent="0.2">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2"/>
      <c r="O2" s="42"/>
      <c r="P2" s="41"/>
    </row>
    <row r="3" spans="1:16" x14ac:dyDescent="0.2">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2" t="s">
        <v>16</v>
      </c>
      <c r="O3" s="42" t="s">
        <v>76</v>
      </c>
      <c r="P3" s="41"/>
    </row>
    <row r="4" spans="1:16" x14ac:dyDescent="0.2">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c r="N4" s="42">
        <v>2007</v>
      </c>
      <c r="O4" s="43">
        <v>4.1000000000000002E-2</v>
      </c>
      <c r="P4" s="41"/>
    </row>
    <row r="5" spans="1:16" x14ac:dyDescent="0.2">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c r="N5" s="42">
        <v>2008</v>
      </c>
      <c r="O5" s="43">
        <v>0</v>
      </c>
      <c r="P5" s="41"/>
    </row>
    <row r="6" spans="1:16" x14ac:dyDescent="0.2">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c r="N6" s="42">
        <v>2009</v>
      </c>
      <c r="O6" s="43">
        <v>2.8000000000000001E-2</v>
      </c>
      <c r="P6" s="41"/>
    </row>
    <row r="7" spans="1:16" x14ac:dyDescent="0.2">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c r="N7" s="42">
        <v>2010</v>
      </c>
      <c r="O7" s="43">
        <v>1.4E-2</v>
      </c>
      <c r="P7" s="41"/>
    </row>
    <row r="8" spans="1:16" x14ac:dyDescent="0.2">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c r="N8" s="42">
        <v>2011</v>
      </c>
      <c r="O8" s="43">
        <v>0.03</v>
      </c>
      <c r="P8" s="41"/>
    </row>
    <row r="9" spans="1:16" x14ac:dyDescent="0.2">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c r="N9" s="42">
        <v>2012</v>
      </c>
      <c r="O9" s="43">
        <v>1.7999999999999999E-2</v>
      </c>
      <c r="P9" s="41"/>
    </row>
    <row r="10" spans="1:16" x14ac:dyDescent="0.2">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c r="N10" s="42">
        <v>2013</v>
      </c>
      <c r="O10" s="43">
        <v>1.15559170535223E-2</v>
      </c>
      <c r="P10" s="41"/>
    </row>
    <row r="11" spans="1:16" x14ac:dyDescent="0.2">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c r="N11" s="42">
        <v>2014</v>
      </c>
      <c r="O11" s="43">
        <v>1.29E-2</v>
      </c>
      <c r="P11" s="41"/>
    </row>
    <row r="12" spans="1:16" x14ac:dyDescent="0.2">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c r="N12" s="42">
        <v>2015</v>
      </c>
      <c r="O12" s="43">
        <v>4.4000000000000003E-3</v>
      </c>
      <c r="P12" s="41"/>
    </row>
    <row r="13" spans="1:16" x14ac:dyDescent="0.2">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c r="N13" s="42">
        <v>2016</v>
      </c>
      <c r="O13" s="43">
        <v>1.7000000000000001E-2</v>
      </c>
      <c r="P13" s="41"/>
    </row>
    <row r="14" spans="1:16" x14ac:dyDescent="0.2">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c r="N14" s="42">
        <v>2017</v>
      </c>
      <c r="O14" s="43">
        <v>2.23E-2</v>
      </c>
      <c r="P14" s="41"/>
    </row>
    <row r="15" spans="1:16" x14ac:dyDescent="0.2">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c r="N15" s="42">
        <v>2018</v>
      </c>
      <c r="O15" s="43">
        <v>2.2088751106458498E-2</v>
      </c>
      <c r="P15" s="41"/>
    </row>
    <row r="16" spans="1:16" x14ac:dyDescent="0.2">
      <c r="A16" s="16">
        <f>'Non-Rebalanced Strategy'!A16</f>
        <v>2019</v>
      </c>
      <c r="B16" s="16">
        <f>'Non-Rebalanced Strategy'!B16</f>
        <v>31.456</v>
      </c>
      <c r="C16" s="16">
        <f>'Non-Rebalanced Strategy'!C16</f>
        <v>0</v>
      </c>
      <c r="D16" s="16">
        <f>'Non-Rebalanced Strategy'!D16</f>
        <v>31.031600000000001</v>
      </c>
      <c r="E16" s="16">
        <f>'Non-Rebalanced Strategy'!E16</f>
        <v>27.3674</v>
      </c>
      <c r="F16" s="16">
        <f>'Non-Rebalanced Strategy'!F16</f>
        <v>0</v>
      </c>
      <c r="G16" s="16">
        <f>'Non-Rebalanced Strategy'!G16</f>
        <v>21.507999999999999</v>
      </c>
      <c r="H16" s="16">
        <f>'Non-Rebalanced Strategy'!H16</f>
        <v>8.7140000000000004</v>
      </c>
      <c r="N16" s="42">
        <v>2019</v>
      </c>
      <c r="O16" s="43">
        <v>2.2862976460393248E-2</v>
      </c>
      <c r="P16" s="41"/>
    </row>
    <row r="17" spans="1:42" x14ac:dyDescent="0.2">
      <c r="N17" s="1"/>
      <c r="O17" s="64"/>
    </row>
    <row r="19" spans="1:42" x14ac:dyDescent="0.2">
      <c r="A19" s="18" t="s">
        <v>98</v>
      </c>
      <c r="N19" s="18" t="s">
        <v>64</v>
      </c>
      <c r="R19" s="18" t="s">
        <v>107</v>
      </c>
      <c r="AG19" s="18" t="s">
        <v>108</v>
      </c>
    </row>
    <row r="20" spans="1:42" x14ac:dyDescent="0.2">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42</v>
      </c>
      <c r="K20" s="5" t="s">
        <v>39</v>
      </c>
      <c r="L20" s="5" t="s">
        <v>40</v>
      </c>
      <c r="S20" s="4" t="str">
        <f t="shared" ref="S20:Y20" si="1">B20</f>
        <v>LC Stocks</v>
      </c>
      <c r="T20" s="4" t="str">
        <f t="shared" si="1"/>
        <v>Ext Mkt</v>
      </c>
      <c r="U20" s="4" t="str">
        <f t="shared" si="1"/>
        <v>Mcap Stk</v>
      </c>
      <c r="V20" s="4" t="str">
        <f t="shared" si="1"/>
        <v>Small Cap</v>
      </c>
      <c r="W20" s="4" t="str">
        <f t="shared" si="1"/>
        <v>Intl Val</v>
      </c>
      <c r="X20" s="4" t="str">
        <f t="shared" si="1"/>
        <v>Tot Int Stk</v>
      </c>
      <c r="Y20" s="4" t="str">
        <f t="shared" si="1"/>
        <v>Bonds</v>
      </c>
      <c r="Z20" s="5"/>
      <c r="AA20" s="5" t="s">
        <v>42</v>
      </c>
      <c r="AB20" s="5" t="s">
        <v>39</v>
      </c>
      <c r="AC20" s="5" t="s">
        <v>40</v>
      </c>
      <c r="AD20" s="5" t="s">
        <v>54</v>
      </c>
      <c r="AE20" s="5"/>
      <c r="AH20" s="4" t="str">
        <f t="shared" ref="AH20:AN21" si="2">B20</f>
        <v>LC Stocks</v>
      </c>
      <c r="AI20" s="4" t="str">
        <f t="shared" si="2"/>
        <v>Ext Mkt</v>
      </c>
      <c r="AJ20" s="4" t="str">
        <f t="shared" si="2"/>
        <v>Mcap Stk</v>
      </c>
      <c r="AK20" s="4" t="str">
        <f t="shared" si="2"/>
        <v>Small Cap</v>
      </c>
      <c r="AL20" s="4" t="str">
        <f t="shared" si="2"/>
        <v>Intl Val</v>
      </c>
      <c r="AM20" s="4" t="str">
        <f t="shared" si="2"/>
        <v>Tot Int Stk</v>
      </c>
      <c r="AN20" s="4" t="str">
        <f t="shared" si="2"/>
        <v>Bonds</v>
      </c>
      <c r="AO20" s="5"/>
    </row>
    <row r="21" spans="1:42" x14ac:dyDescent="0.2">
      <c r="A21" t="s">
        <v>38</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36</v>
      </c>
      <c r="J21" s="5" t="s">
        <v>43</v>
      </c>
      <c r="K21" s="5" t="s">
        <v>41</v>
      </c>
      <c r="L21" s="5" t="s">
        <v>41</v>
      </c>
      <c r="R21" t="str">
        <f>A21</f>
        <v>Fund</v>
      </c>
      <c r="S21" s="4" t="str">
        <f t="shared" ref="S21" si="3">B21</f>
        <v>VFINX</v>
      </c>
      <c r="T21" s="4" t="str">
        <f t="shared" ref="T21" si="4">C21</f>
        <v>VEXMX</v>
      </c>
      <c r="U21" s="4" t="str">
        <f t="shared" ref="U21:U22" si="5">D21</f>
        <v>VIMSX</v>
      </c>
      <c r="V21" s="4" t="str">
        <f t="shared" ref="V21:V22" si="6">E21</f>
        <v>NAESX</v>
      </c>
      <c r="W21" s="4" t="str">
        <f t="shared" ref="W21" si="7">F21</f>
        <v>VTRIX</v>
      </c>
      <c r="X21" s="4" t="str">
        <f t="shared" ref="X21:X22" si="8">G21</f>
        <v>VGTSX</v>
      </c>
      <c r="Y21" s="4" t="str">
        <f t="shared" ref="Y21:Y22" si="9">H21</f>
        <v>VBMFX</v>
      </c>
      <c r="Z21" s="5" t="str">
        <f t="shared" ref="Z21:Z22" si="10">I21</f>
        <v>Total</v>
      </c>
      <c r="AA21" s="5" t="s">
        <v>43</v>
      </c>
      <c r="AB21" s="5" t="s">
        <v>41</v>
      </c>
      <c r="AC21" s="5" t="s">
        <v>41</v>
      </c>
      <c r="AD21" s="5" t="s">
        <v>53</v>
      </c>
      <c r="AE21" s="5"/>
      <c r="AG21" t="s">
        <v>38</v>
      </c>
      <c r="AH21" s="4" t="str">
        <f t="shared" si="2"/>
        <v>VFINX</v>
      </c>
      <c r="AI21" s="4" t="str">
        <f t="shared" si="2"/>
        <v>VEXMX</v>
      </c>
      <c r="AJ21" s="4" t="str">
        <f t="shared" si="2"/>
        <v>VIMSX</v>
      </c>
      <c r="AK21" s="4" t="str">
        <f t="shared" si="2"/>
        <v>NAESX</v>
      </c>
      <c r="AL21" s="4" t="str">
        <f t="shared" si="2"/>
        <v>VTRIX</v>
      </c>
      <c r="AM21" s="4" t="str">
        <f t="shared" si="2"/>
        <v>VGTSX</v>
      </c>
      <c r="AN21" s="4" t="str">
        <f t="shared" si="2"/>
        <v>VBMFX</v>
      </c>
      <c r="AO21" s="5" t="s">
        <v>36</v>
      </c>
    </row>
    <row r="22" spans="1:42" x14ac:dyDescent="0.2">
      <c r="A22" t="s">
        <v>37</v>
      </c>
      <c r="B22" s="2">
        <f>'Non-Rebalanced Strategy'!B23</f>
        <v>20000</v>
      </c>
      <c r="C22" s="2"/>
      <c r="D22" s="2">
        <f>'Non-Rebalanced Strategy'!D23</f>
        <v>15000</v>
      </c>
      <c r="E22" s="2">
        <f>'Non-Rebalanced Strategy'!E23</f>
        <v>10000</v>
      </c>
      <c r="F22" s="2"/>
      <c r="G22" s="2">
        <f>'Non-Rebalanced Strategy'!G23</f>
        <v>15000</v>
      </c>
      <c r="H22" s="2">
        <f>'Non-Rebalanced Strategy'!H23</f>
        <v>40000</v>
      </c>
      <c r="I22" s="2">
        <f>SUM(B22:H22)</f>
        <v>100000</v>
      </c>
      <c r="N22" s="19"/>
      <c r="R22" t="str">
        <f>A22</f>
        <v>Stating Balance</v>
      </c>
      <c r="S22" s="2">
        <f>B22</f>
        <v>20000</v>
      </c>
      <c r="T22" s="2"/>
      <c r="U22" s="2">
        <f t="shared" si="5"/>
        <v>15000</v>
      </c>
      <c r="V22" s="2">
        <f t="shared" si="6"/>
        <v>10000</v>
      </c>
      <c r="W22" s="2"/>
      <c r="X22" s="2">
        <f t="shared" si="8"/>
        <v>15000</v>
      </c>
      <c r="Y22" s="2">
        <f t="shared" si="9"/>
        <v>40000</v>
      </c>
      <c r="Z22" s="2">
        <f t="shared" si="10"/>
        <v>100000</v>
      </c>
      <c r="AD22" s="2"/>
      <c r="AE22" s="2"/>
      <c r="AG22" s="19" t="s">
        <v>52</v>
      </c>
      <c r="AH22" s="6">
        <f>S22/$Z22</f>
        <v>0.2</v>
      </c>
      <c r="AI22" s="6"/>
      <c r="AJ22" s="6">
        <f>U22/$Z22</f>
        <v>0.15</v>
      </c>
      <c r="AK22" s="6">
        <f>V22/$Z22</f>
        <v>0.1</v>
      </c>
      <c r="AL22" s="6"/>
      <c r="AM22" s="6">
        <f>X22/$Z22</f>
        <v>0.15</v>
      </c>
      <c r="AN22" s="6">
        <f>Y22/$Z22</f>
        <v>0.4</v>
      </c>
      <c r="AO22" s="6">
        <f>Z22/$Z22</f>
        <v>1</v>
      </c>
      <c r="AP22" s="22"/>
    </row>
    <row r="23" spans="1:42" x14ac:dyDescent="0.2">
      <c r="A23">
        <f t="shared" ref="A23:A35" si="11">A4</f>
        <v>2007</v>
      </c>
      <c r="B23" s="2">
        <f>B$22*(1+(B4/100))</f>
        <v>21078</v>
      </c>
      <c r="C23" s="2"/>
      <c r="D23" s="2">
        <f>D$22*(1+(D4/100))</f>
        <v>15903.150000000001</v>
      </c>
      <c r="E23" s="2">
        <f>E$22*(1+(E4/100))</f>
        <v>10115.6</v>
      </c>
      <c r="F23" s="2"/>
      <c r="G23" s="2">
        <f>G$22*(1+(G4/100))</f>
        <v>17328.3</v>
      </c>
      <c r="H23" s="2">
        <f>H$22*(1+(H4/100))</f>
        <v>42768</v>
      </c>
      <c r="I23" s="2">
        <f t="shared" ref="I23:I25" si="12">SUM(B23:H23)</f>
        <v>107193.05</v>
      </c>
      <c r="J23" s="2">
        <f>I23-I22</f>
        <v>7193.0500000000029</v>
      </c>
      <c r="K23" s="6">
        <f>(J23/I22)</f>
        <v>7.1930500000000022E-2</v>
      </c>
      <c r="L23" s="7">
        <f t="shared" ref="L23:L28" si="13">K23+1</f>
        <v>1.0719305000000001</v>
      </c>
      <c r="N23">
        <f t="shared" ref="N23:N28" si="14">A23</f>
        <v>2007</v>
      </c>
      <c r="O23" s="2">
        <f>I23*(0.04)</f>
        <v>4287.7219999999998</v>
      </c>
      <c r="P23" s="2"/>
      <c r="Q23" s="2"/>
      <c r="R23">
        <f t="shared" ref="R23:R25" si="15">A23</f>
        <v>2007</v>
      </c>
      <c r="S23" s="2">
        <f t="shared" ref="S23:S27" si="16">B23-($O23/5)</f>
        <v>20220.455600000001</v>
      </c>
      <c r="T23" s="2"/>
      <c r="U23" s="2">
        <f t="shared" ref="U23:U27" si="17">D23-($O23/5)</f>
        <v>15045.605600000001</v>
      </c>
      <c r="V23" s="2">
        <f t="shared" ref="V23:V27" si="18">E23-($O23/5)</f>
        <v>9258.0555999999997</v>
      </c>
      <c r="W23" s="2"/>
      <c r="X23" s="2">
        <f t="shared" ref="X23:X27" si="19">G23-($O23/5)</f>
        <v>16470.7556</v>
      </c>
      <c r="Y23" s="2">
        <f t="shared" ref="Y23:Y27" si="20">H23-($O23/5)</f>
        <v>41910.455600000001</v>
      </c>
      <c r="Z23" s="2">
        <f t="shared" ref="Z23:Z27" si="21">SUM(S23:Y23)</f>
        <v>102905.32800000001</v>
      </c>
      <c r="AA23" s="2">
        <f>Z23-Z22</f>
        <v>2905.3280000000086</v>
      </c>
      <c r="AB23" s="6">
        <f>(AA23/Z22)</f>
        <v>2.9053280000000088E-2</v>
      </c>
      <c r="AC23" s="7">
        <f t="shared" ref="AC23:AC27" si="22">AB23+1</f>
        <v>1.0290532800000001</v>
      </c>
      <c r="AD23" s="2">
        <f t="shared" ref="AD23:AD27" si="23">Z23-(I23-O23)</f>
        <v>0</v>
      </c>
      <c r="AE23" s="2"/>
      <c r="AG23">
        <f t="shared" ref="AG23:AG27" si="24">A23</f>
        <v>2007</v>
      </c>
      <c r="AH23" s="6">
        <f t="shared" ref="AH23:AM27" si="25">S23/$Z23</f>
        <v>0.19649571108699054</v>
      </c>
      <c r="AI23" s="6"/>
      <c r="AJ23" s="6">
        <f t="shared" si="25"/>
        <v>0.14620822743016765</v>
      </c>
      <c r="AK23" s="6">
        <f t="shared" si="25"/>
        <v>8.9966727475957312E-2</v>
      </c>
      <c r="AL23" s="6"/>
      <c r="AM23" s="6">
        <f t="shared" si="25"/>
        <v>0.16005736457105504</v>
      </c>
      <c r="AN23" s="6">
        <f t="shared" ref="AN23:AN27" si="26">Y23/$Z23</f>
        <v>0.40727196943582938</v>
      </c>
      <c r="AO23" s="20">
        <f>SUM(AH23:AN23)</f>
        <v>1</v>
      </c>
      <c r="AP23" s="22"/>
    </row>
    <row r="24" spans="1:42" x14ac:dyDescent="0.2">
      <c r="A24">
        <f t="shared" si="11"/>
        <v>2008</v>
      </c>
      <c r="B24" s="2">
        <f t="shared" ref="B24:B35" si="27">S23*(1+(B5/100))</f>
        <v>12734.842936879999</v>
      </c>
      <c r="C24" s="2"/>
      <c r="D24" s="2">
        <f t="shared" ref="D24:E30" si="28">U23*(1+(D5/100))</f>
        <v>8752.9315138560014</v>
      </c>
      <c r="E24" s="2">
        <f t="shared" si="28"/>
        <v>5918.6749450799998</v>
      </c>
      <c r="F24" s="2"/>
      <c r="G24" s="2">
        <f t="shared" ref="G24:H30" si="29">X23*(1+(G5/100))</f>
        <v>9206.9876728439995</v>
      </c>
      <c r="H24" s="2">
        <f t="shared" si="29"/>
        <v>44026.933607799998</v>
      </c>
      <c r="I24" s="2">
        <f t="shared" si="12"/>
        <v>80640.370676460007</v>
      </c>
      <c r="J24" s="2">
        <f t="shared" ref="J24:J28" si="30">I24-I23</f>
        <v>-26552.679323539996</v>
      </c>
      <c r="K24" s="6">
        <f t="shared" ref="K24:K28" si="31">(J24/I23)</f>
        <v>-0.24770896362721273</v>
      </c>
      <c r="L24" s="7">
        <f t="shared" si="13"/>
        <v>0.75229103637278727</v>
      </c>
      <c r="N24">
        <f t="shared" si="14"/>
        <v>2008</v>
      </c>
      <c r="O24" s="2">
        <f t="shared" ref="O24:O35" si="32">O23*(1+O5)</f>
        <v>4287.7219999999998</v>
      </c>
      <c r="P24" s="2"/>
      <c r="Q24" s="2"/>
      <c r="R24">
        <f t="shared" si="15"/>
        <v>2008</v>
      </c>
      <c r="S24" s="2">
        <f t="shared" si="16"/>
        <v>11877.298536879998</v>
      </c>
      <c r="T24" s="2"/>
      <c r="U24" s="2">
        <f t="shared" si="17"/>
        <v>7895.3871138560016</v>
      </c>
      <c r="V24" s="2">
        <f t="shared" si="18"/>
        <v>5061.13054508</v>
      </c>
      <c r="W24" s="2"/>
      <c r="X24" s="2">
        <f t="shared" si="19"/>
        <v>8349.4432728439988</v>
      </c>
      <c r="Y24" s="2">
        <f t="shared" si="20"/>
        <v>43169.389207799999</v>
      </c>
      <c r="Z24" s="2">
        <f t="shared" si="21"/>
        <v>76352.648676459998</v>
      </c>
      <c r="AA24" s="2">
        <f t="shared" ref="AA24:AA27" si="33">Z24-Z23</f>
        <v>-26552.679323540011</v>
      </c>
      <c r="AB24" s="6">
        <f t="shared" ref="AB24:AB27" si="34">(AA24/Z23)</f>
        <v>-0.25803017044501336</v>
      </c>
      <c r="AC24" s="7">
        <f t="shared" si="22"/>
        <v>0.74196982955498658</v>
      </c>
      <c r="AD24" s="2">
        <f t="shared" si="23"/>
        <v>0</v>
      </c>
      <c r="AE24" s="2"/>
      <c r="AG24">
        <f t="shared" si="24"/>
        <v>2008</v>
      </c>
      <c r="AH24" s="6">
        <f t="shared" si="25"/>
        <v>0.15555843500871036</v>
      </c>
      <c r="AI24" s="6"/>
      <c r="AJ24" s="6">
        <f t="shared" si="25"/>
        <v>0.10340685294772491</v>
      </c>
      <c r="AK24" s="6">
        <f t="shared" si="25"/>
        <v>6.6286247207038657E-2</v>
      </c>
      <c r="AL24" s="6"/>
      <c r="AM24" s="6">
        <f t="shared" si="25"/>
        <v>0.10935368212600312</v>
      </c>
      <c r="AN24" s="6">
        <f t="shared" si="26"/>
        <v>0.56539478271052301</v>
      </c>
      <c r="AO24" s="20">
        <f t="shared" ref="AO24:AO27" si="35">SUM(AH24:AN24)</f>
        <v>1</v>
      </c>
      <c r="AP24" s="22"/>
    </row>
    <row r="25" spans="1:42" x14ac:dyDescent="0.2">
      <c r="A25">
        <f t="shared" si="11"/>
        <v>2009</v>
      </c>
      <c r="B25" s="2">
        <f t="shared" si="27"/>
        <v>15023.594919299509</v>
      </c>
      <c r="C25" s="2"/>
      <c r="D25" s="2">
        <f t="shared" si="28"/>
        <v>11070.753903306608</v>
      </c>
      <c r="E25" s="2">
        <f t="shared" si="28"/>
        <v>6889.1096753519951</v>
      </c>
      <c r="F25" s="2"/>
      <c r="G25" s="2">
        <f t="shared" si="29"/>
        <v>11415.943303661414</v>
      </c>
      <c r="H25" s="2">
        <f t="shared" si="29"/>
        <v>45729.333987822538</v>
      </c>
      <c r="I25" s="2">
        <f t="shared" si="12"/>
        <v>90128.735789442057</v>
      </c>
      <c r="J25" s="2">
        <f t="shared" si="30"/>
        <v>9488.3651129820501</v>
      </c>
      <c r="K25" s="6">
        <f t="shared" si="31"/>
        <v>0.1176627169913522</v>
      </c>
      <c r="L25" s="7">
        <f t="shared" si="13"/>
        <v>1.1176627169913522</v>
      </c>
      <c r="N25">
        <f t="shared" si="14"/>
        <v>2009</v>
      </c>
      <c r="O25" s="2">
        <f t="shared" si="32"/>
        <v>4407.7782159999997</v>
      </c>
      <c r="P25" s="2"/>
      <c r="Q25" s="2"/>
      <c r="R25">
        <f t="shared" si="15"/>
        <v>2009</v>
      </c>
      <c r="S25" s="2">
        <f t="shared" si="16"/>
        <v>14142.039276099509</v>
      </c>
      <c r="T25" s="2"/>
      <c r="U25" s="2">
        <f t="shared" si="17"/>
        <v>10189.198260106608</v>
      </c>
      <c r="V25" s="2">
        <f t="shared" si="18"/>
        <v>6007.5540321519948</v>
      </c>
      <c r="W25" s="2"/>
      <c r="X25" s="2">
        <f t="shared" si="19"/>
        <v>10534.387660461414</v>
      </c>
      <c r="Y25" s="2">
        <f t="shared" si="20"/>
        <v>44847.778344622537</v>
      </c>
      <c r="Z25" s="2">
        <f t="shared" si="21"/>
        <v>85720.957573442065</v>
      </c>
      <c r="AA25" s="2">
        <f t="shared" si="33"/>
        <v>9368.3088969820674</v>
      </c>
      <c r="AB25" s="6">
        <f t="shared" si="34"/>
        <v>0.12269789011092128</v>
      </c>
      <c r="AC25" s="7">
        <f t="shared" si="22"/>
        <v>1.1226978901109212</v>
      </c>
      <c r="AD25" s="2">
        <f t="shared" si="23"/>
        <v>0</v>
      </c>
      <c r="AE25" s="2"/>
      <c r="AG25">
        <f t="shared" si="24"/>
        <v>2009</v>
      </c>
      <c r="AH25" s="6">
        <f t="shared" si="25"/>
        <v>0.16497761663456936</v>
      </c>
      <c r="AI25" s="6"/>
      <c r="AJ25" s="6">
        <f t="shared" si="25"/>
        <v>0.11886472746617345</v>
      </c>
      <c r="AK25" s="6">
        <f t="shared" si="25"/>
        <v>7.0082675254822938E-2</v>
      </c>
      <c r="AL25" s="6"/>
      <c r="AM25" s="6">
        <f t="shared" si="25"/>
        <v>0.12289162368999436</v>
      </c>
      <c r="AN25" s="6">
        <f t="shared" si="26"/>
        <v>0.52318335695443985</v>
      </c>
      <c r="AO25" s="20">
        <f t="shared" si="35"/>
        <v>1</v>
      </c>
      <c r="AP25" s="22"/>
    </row>
    <row r="26" spans="1:42" x14ac:dyDescent="0.2">
      <c r="A26">
        <f t="shared" si="11"/>
        <v>2010</v>
      </c>
      <c r="B26" s="2">
        <f t="shared" si="27"/>
        <v>16250.617332165946</v>
      </c>
      <c r="C26" s="2"/>
      <c r="D26" s="2">
        <f t="shared" si="28"/>
        <v>12783.36813712975</v>
      </c>
      <c r="E26" s="2">
        <f t="shared" si="28"/>
        <v>7672.8480098645286</v>
      </c>
      <c r="F26" s="2"/>
      <c r="G26" s="2">
        <f t="shared" si="29"/>
        <v>11705.811568304724</v>
      </c>
      <c r="H26" s="2">
        <f t="shared" si="29"/>
        <v>47727.005714347302</v>
      </c>
      <c r="I26" s="2">
        <f t="shared" ref="I26:I28" si="36">SUM(B26:H26)</f>
        <v>96139.650761812256</v>
      </c>
      <c r="J26" s="2">
        <f t="shared" si="30"/>
        <v>6010.9149723701994</v>
      </c>
      <c r="K26" s="6">
        <f t="shared" si="31"/>
        <v>6.6692547273855526E-2</v>
      </c>
      <c r="L26" s="7">
        <f t="shared" si="13"/>
        <v>1.0666925472738555</v>
      </c>
      <c r="N26">
        <f t="shared" si="14"/>
        <v>2010</v>
      </c>
      <c r="O26" s="2">
        <f t="shared" si="32"/>
        <v>4469.4871110240001</v>
      </c>
      <c r="P26" s="2"/>
      <c r="Q26" s="2"/>
      <c r="R26">
        <f t="shared" ref="R26" si="37">A26</f>
        <v>2010</v>
      </c>
      <c r="S26" s="2">
        <f t="shared" si="16"/>
        <v>15356.719909961146</v>
      </c>
      <c r="T26" s="2"/>
      <c r="U26" s="2">
        <f t="shared" si="17"/>
        <v>11889.47071492495</v>
      </c>
      <c r="V26" s="2">
        <f t="shared" si="18"/>
        <v>6778.9505876597286</v>
      </c>
      <c r="W26" s="2"/>
      <c r="X26" s="2">
        <f t="shared" si="19"/>
        <v>10811.914146099924</v>
      </c>
      <c r="Y26" s="2">
        <f t="shared" si="20"/>
        <v>46833.108292142504</v>
      </c>
      <c r="Z26" s="2">
        <f t="shared" si="21"/>
        <v>91670.16365078825</v>
      </c>
      <c r="AA26" s="2">
        <f t="shared" si="33"/>
        <v>5949.2060773461853</v>
      </c>
      <c r="AB26" s="6">
        <f t="shared" si="34"/>
        <v>6.9402002097901899E-2</v>
      </c>
      <c r="AC26" s="7">
        <f t="shared" si="22"/>
        <v>1.0694020020979018</v>
      </c>
      <c r="AD26" s="2">
        <f t="shared" si="23"/>
        <v>0</v>
      </c>
      <c r="AE26" s="2"/>
      <c r="AG26">
        <f t="shared" si="24"/>
        <v>2010</v>
      </c>
      <c r="AH26" s="6">
        <f t="shared" si="25"/>
        <v>0.16752146280071681</v>
      </c>
      <c r="AI26" s="6"/>
      <c r="AJ26" s="6">
        <f t="shared" si="25"/>
        <v>0.12969836903768542</v>
      </c>
      <c r="AK26" s="6">
        <f t="shared" si="25"/>
        <v>7.3949367140694944E-2</v>
      </c>
      <c r="AL26" s="6"/>
      <c r="AM26" s="6">
        <f t="shared" si="25"/>
        <v>0.1179436548983073</v>
      </c>
      <c r="AN26" s="6">
        <f t="shared" si="26"/>
        <v>0.51088714612259556</v>
      </c>
      <c r="AO26" s="20">
        <f t="shared" si="35"/>
        <v>1</v>
      </c>
      <c r="AP26" s="22"/>
    </row>
    <row r="27" spans="1:42" x14ac:dyDescent="0.2">
      <c r="A27">
        <f t="shared" si="11"/>
        <v>2011</v>
      </c>
      <c r="B27" s="2">
        <f t="shared" si="27"/>
        <v>15659.247292187381</v>
      </c>
      <c r="C27" s="2"/>
      <c r="D27" s="2">
        <f t="shared" si="28"/>
        <v>11638.602882840034</v>
      </c>
      <c r="E27" s="2">
        <f t="shared" si="28"/>
        <v>6589.1399712052562</v>
      </c>
      <c r="F27" s="2"/>
      <c r="G27" s="2">
        <f t="shared" si="29"/>
        <v>9237.6994464277759</v>
      </c>
      <c r="H27" s="2">
        <f t="shared" si="29"/>
        <v>50373.691279028484</v>
      </c>
      <c r="I27" s="2">
        <f t="shared" si="36"/>
        <v>93498.380871688933</v>
      </c>
      <c r="J27" s="2">
        <f t="shared" si="30"/>
        <v>-2641.2698901233234</v>
      </c>
      <c r="K27" s="6">
        <f t="shared" si="31"/>
        <v>-2.7473262792134724E-2</v>
      </c>
      <c r="L27" s="7">
        <f t="shared" si="13"/>
        <v>0.97252673720786531</v>
      </c>
      <c r="N27">
        <f t="shared" si="14"/>
        <v>2011</v>
      </c>
      <c r="O27" s="2">
        <f t="shared" si="32"/>
        <v>4603.5717243547206</v>
      </c>
      <c r="P27" s="2"/>
      <c r="Q27" s="2"/>
      <c r="R27">
        <f t="shared" ref="R27" si="38">A27</f>
        <v>2011</v>
      </c>
      <c r="S27" s="2">
        <f t="shared" si="16"/>
        <v>14738.532947316437</v>
      </c>
      <c r="T27" s="2"/>
      <c r="U27" s="2">
        <f t="shared" si="17"/>
        <v>10717.888537969089</v>
      </c>
      <c r="V27" s="2">
        <f t="shared" si="18"/>
        <v>5668.4256263343123</v>
      </c>
      <c r="W27" s="2"/>
      <c r="X27" s="2">
        <f t="shared" si="19"/>
        <v>8316.9851015568311</v>
      </c>
      <c r="Y27" s="2">
        <f t="shared" si="20"/>
        <v>49452.976934157537</v>
      </c>
      <c r="Z27" s="2">
        <f t="shared" si="21"/>
        <v>88894.809147334207</v>
      </c>
      <c r="AA27" s="2">
        <f t="shared" si="33"/>
        <v>-2775.3545034540439</v>
      </c>
      <c r="AB27" s="6">
        <f t="shared" si="34"/>
        <v>-3.0275439607881396E-2</v>
      </c>
      <c r="AC27" s="7">
        <f t="shared" si="22"/>
        <v>0.96972456039211863</v>
      </c>
      <c r="AD27" s="2">
        <f t="shared" si="23"/>
        <v>0</v>
      </c>
      <c r="AE27" s="2"/>
      <c r="AG27">
        <f t="shared" si="24"/>
        <v>2011</v>
      </c>
      <c r="AH27" s="6">
        <f t="shared" si="25"/>
        <v>0.16579745306487806</v>
      </c>
      <c r="AI27" s="6"/>
      <c r="AJ27" s="6">
        <f t="shared" si="25"/>
        <v>0.12056821585842281</v>
      </c>
      <c r="AK27" s="6">
        <f t="shared" si="25"/>
        <v>6.3765541325809777E-2</v>
      </c>
      <c r="AL27" s="7"/>
      <c r="AM27" s="6">
        <f t="shared" si="25"/>
        <v>9.3559851034409267E-2</v>
      </c>
      <c r="AN27" s="6">
        <f t="shared" si="26"/>
        <v>0.55630893871648013</v>
      </c>
      <c r="AO27" s="20">
        <f t="shared" si="35"/>
        <v>1</v>
      </c>
      <c r="AP27" s="22"/>
    </row>
    <row r="28" spans="1:42" x14ac:dyDescent="0.2">
      <c r="A28">
        <f t="shared" si="11"/>
        <v>2012</v>
      </c>
      <c r="B28" s="2">
        <f t="shared" si="27"/>
        <v>17070.168859581896</v>
      </c>
      <c r="C28" s="2"/>
      <c r="D28" s="2">
        <f t="shared" si="28"/>
        <v>12411.314926968204</v>
      </c>
      <c r="E28" s="2">
        <f t="shared" si="28"/>
        <v>6691.0096093250231</v>
      </c>
      <c r="F28" s="2"/>
      <c r="G28" s="2">
        <f t="shared" si="29"/>
        <v>9825.6861989792396</v>
      </c>
      <c r="H28" s="2">
        <f t="shared" si="29"/>
        <v>51455.822499990914</v>
      </c>
      <c r="I28" s="2">
        <f t="shared" si="36"/>
        <v>97454.002094845273</v>
      </c>
      <c r="J28" s="2">
        <f t="shared" si="30"/>
        <v>3955.6212231563404</v>
      </c>
      <c r="K28" s="6">
        <f t="shared" si="31"/>
        <v>4.2306841961089962E-2</v>
      </c>
      <c r="L28" s="7">
        <f t="shared" si="13"/>
        <v>1.0423068419610899</v>
      </c>
      <c r="N28">
        <f t="shared" si="14"/>
        <v>2012</v>
      </c>
      <c r="O28" s="2">
        <f t="shared" si="32"/>
        <v>4686.4360153931057</v>
      </c>
      <c r="P28" s="2"/>
      <c r="Q28" s="2"/>
      <c r="R28">
        <f t="shared" ref="R28:R30" si="39">A28</f>
        <v>2012</v>
      </c>
      <c r="S28" s="2">
        <f t="shared" ref="S28:S30" si="40">B28-($O28/5)</f>
        <v>16132.881656503276</v>
      </c>
      <c r="T28" s="2"/>
      <c r="U28" s="2">
        <f t="shared" ref="U28:U30" si="41">D28-($O28/5)</f>
        <v>11474.027723889583</v>
      </c>
      <c r="V28" s="2">
        <f t="shared" ref="V28:V30" si="42">E28-($O28/5)</f>
        <v>5753.722406246402</v>
      </c>
      <c r="W28" s="2"/>
      <c r="X28" s="2">
        <f t="shared" ref="X28:X30" si="43">G28-($O28/5)</f>
        <v>8888.3989959006176</v>
      </c>
      <c r="Y28" s="2">
        <f t="shared" ref="Y28:Y30" si="44">H28-($O28/5)</f>
        <v>50518.535296912291</v>
      </c>
      <c r="Z28" s="2">
        <f t="shared" ref="Z28:Z30" si="45">SUM(S28:Y28)</f>
        <v>92767.566079452168</v>
      </c>
      <c r="AA28" s="2">
        <f t="shared" ref="AA28:AA30" si="46">Z28-Z27</f>
        <v>3872.7569321179617</v>
      </c>
      <c r="AB28" s="6">
        <f t="shared" ref="AB28:AB30" si="47">(AA28/Z27)</f>
        <v>4.3565613889774563E-2</v>
      </c>
      <c r="AC28" s="7">
        <f t="shared" ref="AC28:AC30" si="48">AB28+1</f>
        <v>1.0435656138897746</v>
      </c>
      <c r="AD28" s="2">
        <f t="shared" ref="AD28:AD30" si="49">Z28-(I28-O28)</f>
        <v>0</v>
      </c>
      <c r="AE28" s="2"/>
      <c r="AG28">
        <f t="shared" ref="AG28:AG30" si="50">A28</f>
        <v>2012</v>
      </c>
      <c r="AH28" s="6">
        <f t="shared" ref="AH28:AH30" si="51">S28/$Z28</f>
        <v>0.17390648842383155</v>
      </c>
      <c r="AI28" s="6"/>
      <c r="AJ28" s="6">
        <f t="shared" ref="AJ28:AJ30" si="52">U28/$Z28</f>
        <v>0.12368576873152499</v>
      </c>
      <c r="AK28" s="6">
        <f t="shared" ref="AK28:AK30" si="53">V28/$Z28</f>
        <v>6.2022996284267502E-2</v>
      </c>
      <c r="AL28" s="7"/>
      <c r="AM28" s="6">
        <f t="shared" ref="AM28:AM30" si="54">X28/$Z28</f>
        <v>9.5813648794968009E-2</v>
      </c>
      <c r="AN28" s="6">
        <f t="shared" ref="AN28:AN30" si="55">Y28/$Z28</f>
        <v>0.54457109776540802</v>
      </c>
      <c r="AO28" s="20">
        <f t="shared" ref="AO28:AO30" si="56">SUM(AH28:AN28)</f>
        <v>1</v>
      </c>
      <c r="AP28" s="22"/>
    </row>
    <row r="29" spans="1:42" x14ac:dyDescent="0.2">
      <c r="A29">
        <f t="shared" si="11"/>
        <v>2013</v>
      </c>
      <c r="B29" s="2">
        <f t="shared" si="27"/>
        <v>21324.442973566031</v>
      </c>
      <c r="C29" s="2"/>
      <c r="D29" s="2">
        <f t="shared" si="28"/>
        <v>15489.937427250938</v>
      </c>
      <c r="E29" s="2">
        <f t="shared" si="28"/>
        <v>7918.2727754762973</v>
      </c>
      <c r="F29" s="2"/>
      <c r="G29" s="2">
        <f t="shared" si="29"/>
        <v>10225.214204884069</v>
      </c>
      <c r="H29" s="2">
        <f t="shared" si="29"/>
        <v>49376.816399202078</v>
      </c>
      <c r="I29" s="2">
        <f t="shared" ref="I29:I30" si="57">SUM(B29:H29)</f>
        <v>104334.68378037942</v>
      </c>
      <c r="J29" s="2">
        <f t="shared" ref="J29:J30" si="58">I29-I28</f>
        <v>6880.6816855341458</v>
      </c>
      <c r="K29" s="6">
        <f t="shared" ref="K29:K30" si="59">(J29/I28)</f>
        <v>7.0604403489121476E-2</v>
      </c>
      <c r="L29" s="7">
        <f t="shared" ref="L29:L30" si="60">K29+1</f>
        <v>1.0706044034891216</v>
      </c>
      <c r="N29">
        <f t="shared" ref="N29:N30" si="61">A29</f>
        <v>2013</v>
      </c>
      <c r="O29" s="2">
        <f t="shared" si="32"/>
        <v>4740.5920812636277</v>
      </c>
      <c r="P29" s="2"/>
      <c r="Q29" s="2"/>
      <c r="R29">
        <f t="shared" si="39"/>
        <v>2013</v>
      </c>
      <c r="S29" s="2">
        <f t="shared" si="40"/>
        <v>20376.324557313306</v>
      </c>
      <c r="T29" s="2"/>
      <c r="U29" s="2">
        <f t="shared" si="41"/>
        <v>14541.819010998212</v>
      </c>
      <c r="V29" s="2">
        <f t="shared" si="42"/>
        <v>6970.1543592235721</v>
      </c>
      <c r="W29" s="2"/>
      <c r="X29" s="2">
        <f t="shared" si="43"/>
        <v>9277.0957886313427</v>
      </c>
      <c r="Y29" s="2">
        <f t="shared" si="44"/>
        <v>48428.69798294935</v>
      </c>
      <c r="Z29" s="2">
        <f t="shared" si="45"/>
        <v>99594.091699115786</v>
      </c>
      <c r="AA29" s="2">
        <f t="shared" si="46"/>
        <v>6826.5256196636183</v>
      </c>
      <c r="AB29" s="6">
        <f t="shared" si="47"/>
        <v>7.3587417544370398E-2</v>
      </c>
      <c r="AC29" s="7">
        <f t="shared" si="48"/>
        <v>1.0735874175443705</v>
      </c>
      <c r="AD29" s="2">
        <f t="shared" si="49"/>
        <v>0</v>
      </c>
      <c r="AE29" s="2"/>
      <c r="AG29">
        <f t="shared" si="50"/>
        <v>2013</v>
      </c>
      <c r="AH29" s="6">
        <f t="shared" si="51"/>
        <v>0.20459370841869137</v>
      </c>
      <c r="AI29" s="6"/>
      <c r="AJ29" s="6">
        <f t="shared" si="52"/>
        <v>0.14601086031218172</v>
      </c>
      <c r="AK29" s="6">
        <f t="shared" si="53"/>
        <v>6.9985621037452109E-2</v>
      </c>
      <c r="AL29" s="7"/>
      <c r="AM29" s="6">
        <f t="shared" si="54"/>
        <v>9.3149057643483746E-2</v>
      </c>
      <c r="AN29" s="6">
        <f t="shared" si="55"/>
        <v>0.48626075258819101</v>
      </c>
      <c r="AO29" s="20">
        <f t="shared" si="56"/>
        <v>1</v>
      </c>
      <c r="AP29" s="22"/>
    </row>
    <row r="30" spans="1:42" x14ac:dyDescent="0.2">
      <c r="A30">
        <f t="shared" si="11"/>
        <v>2014</v>
      </c>
      <c r="B30" s="2">
        <f t="shared" si="27"/>
        <v>23129.166005006333</v>
      </c>
      <c r="C30" s="2"/>
      <c r="D30" s="2">
        <f t="shared" si="28"/>
        <v>16519.506396493969</v>
      </c>
      <c r="E30" s="2">
        <f t="shared" si="28"/>
        <v>7483.8547354983502</v>
      </c>
      <c r="F30" s="2"/>
      <c r="G30" s="2">
        <f t="shared" si="29"/>
        <v>8883.7469271933733</v>
      </c>
      <c r="H30" s="2">
        <f t="shared" si="29"/>
        <v>51218.190986767237</v>
      </c>
      <c r="I30" s="2">
        <f t="shared" si="57"/>
        <v>107234.46505095926</v>
      </c>
      <c r="J30" s="2">
        <f t="shared" si="58"/>
        <v>2899.7812705798424</v>
      </c>
      <c r="K30" s="6">
        <f t="shared" si="59"/>
        <v>2.779307096654237E-2</v>
      </c>
      <c r="L30" s="7">
        <f t="shared" si="60"/>
        <v>1.0277930709665424</v>
      </c>
      <c r="N30">
        <f t="shared" si="61"/>
        <v>2014</v>
      </c>
      <c r="O30" s="2">
        <f t="shared" si="32"/>
        <v>4801.7457191119283</v>
      </c>
      <c r="P30" s="2"/>
      <c r="Q30" s="2"/>
      <c r="R30">
        <f t="shared" si="39"/>
        <v>2014</v>
      </c>
      <c r="S30" s="2">
        <f t="shared" si="40"/>
        <v>22168.816861183946</v>
      </c>
      <c r="T30" s="2"/>
      <c r="U30" s="2">
        <f t="shared" si="41"/>
        <v>15559.157252671583</v>
      </c>
      <c r="V30" s="2">
        <f t="shared" si="42"/>
        <v>6523.5055916759648</v>
      </c>
      <c r="W30" s="2"/>
      <c r="X30" s="2">
        <f t="shared" si="43"/>
        <v>7923.3977833709878</v>
      </c>
      <c r="Y30" s="2">
        <f t="shared" si="44"/>
        <v>50257.84184294485</v>
      </c>
      <c r="Z30" s="2">
        <f t="shared" si="45"/>
        <v>102432.71933184733</v>
      </c>
      <c r="AA30" s="2">
        <f t="shared" si="46"/>
        <v>2838.6276327315427</v>
      </c>
      <c r="AB30" s="6">
        <f t="shared" si="47"/>
        <v>2.8501968182081873E-2</v>
      </c>
      <c r="AC30" s="7">
        <f t="shared" si="48"/>
        <v>1.0285019681820819</v>
      </c>
      <c r="AD30" s="2">
        <f t="shared" si="49"/>
        <v>0</v>
      </c>
      <c r="AE30" s="2"/>
      <c r="AG30">
        <f t="shared" si="50"/>
        <v>2014</v>
      </c>
      <c r="AH30" s="6">
        <f t="shared" si="51"/>
        <v>0.21642319959664924</v>
      </c>
      <c r="AI30" s="6"/>
      <c r="AJ30" s="6">
        <f t="shared" si="52"/>
        <v>0.15189636040282384</v>
      </c>
      <c r="AK30" s="6">
        <f t="shared" si="53"/>
        <v>6.3685760118717682E-2</v>
      </c>
      <c r="AL30" s="7"/>
      <c r="AM30" s="6">
        <f t="shared" si="54"/>
        <v>7.7352215532830504E-2</v>
      </c>
      <c r="AN30" s="6">
        <f t="shared" si="55"/>
        <v>0.49064246434897874</v>
      </c>
      <c r="AO30" s="20">
        <f t="shared" si="56"/>
        <v>1</v>
      </c>
      <c r="AP30" s="22"/>
    </row>
    <row r="31" spans="1:42" x14ac:dyDescent="0.2">
      <c r="A31">
        <f t="shared" si="11"/>
        <v>2015</v>
      </c>
      <c r="B31" s="2">
        <f t="shared" si="27"/>
        <v>22445.927071948743</v>
      </c>
      <c r="C31" s="2"/>
      <c r="D31" s="2">
        <f t="shared" ref="D31:E31" si="62">U30*(1+(D12/100))</f>
        <v>15331.993556782578</v>
      </c>
      <c r="E31" s="2">
        <f t="shared" si="62"/>
        <v>6276.9170803106126</v>
      </c>
      <c r="F31" s="2"/>
      <c r="G31" s="2">
        <f t="shared" ref="G31:H31" si="63">X30*(1+(G12/100))</f>
        <v>7577.1453002376757</v>
      </c>
      <c r="H31" s="2">
        <f t="shared" si="63"/>
        <v>50408.615368473678</v>
      </c>
      <c r="I31" s="2">
        <f t="shared" ref="I31" si="64">SUM(B31:H31)</f>
        <v>102040.59837775328</v>
      </c>
      <c r="J31" s="2">
        <f t="shared" ref="J31" si="65">I31-I30</f>
        <v>-5193.8666732059792</v>
      </c>
      <c r="K31" s="6">
        <f t="shared" ref="K31" si="66">(J31/I30)</f>
        <v>-4.843467695519145E-2</v>
      </c>
      <c r="L31" s="7">
        <f t="shared" ref="L31" si="67">K31+1</f>
        <v>0.95156532304480856</v>
      </c>
      <c r="N31">
        <f t="shared" ref="N31" si="68">A31</f>
        <v>2015</v>
      </c>
      <c r="O31" s="2">
        <f t="shared" si="32"/>
        <v>4822.8734002760202</v>
      </c>
      <c r="P31" s="2"/>
      <c r="Q31" s="2"/>
      <c r="R31">
        <f t="shared" ref="R31" si="69">A31</f>
        <v>2015</v>
      </c>
      <c r="S31" s="2">
        <f t="shared" ref="S31" si="70">B31-($O31/5)</f>
        <v>21481.352391893539</v>
      </c>
      <c r="T31" s="2"/>
      <c r="U31" s="2">
        <f t="shared" ref="U31" si="71">D31-($O31/5)</f>
        <v>14367.418876727374</v>
      </c>
      <c r="V31" s="2">
        <f t="shared" ref="V31" si="72">E31-($O31/5)</f>
        <v>5312.3424002554084</v>
      </c>
      <c r="W31" s="2"/>
      <c r="X31" s="2">
        <f t="shared" ref="X31" si="73">G31-($O31/5)</f>
        <v>6612.5706201824714</v>
      </c>
      <c r="Y31" s="2">
        <f t="shared" ref="Y31" si="74">H31-($O31/5)</f>
        <v>49444.040688418478</v>
      </c>
      <c r="Z31" s="2">
        <f t="shared" ref="Z31" si="75">SUM(S31:Y31)</f>
        <v>97217.724977477279</v>
      </c>
      <c r="AA31" s="2">
        <f t="shared" ref="AA31" si="76">Z31-Z30</f>
        <v>-5214.9943543700501</v>
      </c>
      <c r="AB31" s="6">
        <f t="shared" ref="AB31" si="77">(AA31/Z30)</f>
        <v>-5.0911411787040763E-2</v>
      </c>
      <c r="AC31" s="7">
        <f t="shared" ref="AC31" si="78">AB31+1</f>
        <v>0.94908858821295927</v>
      </c>
      <c r="AD31" s="2">
        <f t="shared" ref="AD31" si="79">Z31-(I31-O31)</f>
        <v>0</v>
      </c>
      <c r="AE31" s="2"/>
      <c r="AG31">
        <f t="shared" ref="AG31" si="80">A31</f>
        <v>2015</v>
      </c>
      <c r="AH31" s="6">
        <f t="shared" ref="AH31" si="81">S31/$Z31</f>
        <v>0.22096127426217996</v>
      </c>
      <c r="AI31" s="6"/>
      <c r="AJ31" s="6">
        <f t="shared" ref="AJ31" si="82">U31/$Z31</f>
        <v>0.14778600178162898</v>
      </c>
      <c r="AK31" s="6">
        <f t="shared" ref="AK31" si="83">V31/$Z31</f>
        <v>5.4643763793959743E-2</v>
      </c>
      <c r="AL31" s="7"/>
      <c r="AM31" s="6">
        <f t="shared" ref="AM31" si="84">X31/$Z31</f>
        <v>6.8018158434734258E-2</v>
      </c>
      <c r="AN31" s="6">
        <f t="shared" ref="AN31" si="85">Y31/$Z31</f>
        <v>0.50859080172749693</v>
      </c>
      <c r="AO31" s="20">
        <f t="shared" ref="AO31" si="86">SUM(AH31:AN31)</f>
        <v>0.99999999999999989</v>
      </c>
      <c r="AP31" s="22"/>
    </row>
    <row r="32" spans="1:42" x14ac:dyDescent="0.2">
      <c r="A32">
        <f t="shared" si="11"/>
        <v>2016</v>
      </c>
      <c r="B32" s="2">
        <f t="shared" si="27"/>
        <v>24020.448244615356</v>
      </c>
      <c r="C32" s="2"/>
      <c r="D32" s="2">
        <f>U31*(1+(D13/100))</f>
        <v>15957.892146381095</v>
      </c>
      <c r="E32" s="2">
        <f>V31*(1+(E13/100))</f>
        <v>6277.5950143818163</v>
      </c>
      <c r="F32" s="2"/>
      <c r="G32" s="2">
        <f>X31*(1+(G13/100))</f>
        <v>6920.0551540209563</v>
      </c>
      <c r="H32" s="2">
        <f>Y31*(1+(H13/100))</f>
        <v>50680.141705628936</v>
      </c>
      <c r="I32" s="2">
        <f t="shared" ref="I32" si="87">SUM(B32:H32)</f>
        <v>103856.13226502817</v>
      </c>
      <c r="J32" s="2">
        <f t="shared" ref="J32" si="88">I32-I31</f>
        <v>1815.5338872748835</v>
      </c>
      <c r="K32" s="6">
        <f t="shared" ref="K32" si="89">(J32/I31)</f>
        <v>1.7792270097768292E-2</v>
      </c>
      <c r="L32" s="7">
        <f t="shared" ref="L32" si="90">K32+1</f>
        <v>1.0177922700977682</v>
      </c>
      <c r="N32">
        <f t="shared" ref="N32" si="91">A32</f>
        <v>2016</v>
      </c>
      <c r="O32" s="2">
        <f t="shared" si="32"/>
        <v>4904.8622480807117</v>
      </c>
      <c r="P32" s="2"/>
      <c r="Q32" s="2"/>
      <c r="R32">
        <f t="shared" ref="R32" si="92">A32</f>
        <v>2016</v>
      </c>
      <c r="S32" s="2">
        <f t="shared" ref="S32" si="93">B32-($O32/5)</f>
        <v>23039.475794999213</v>
      </c>
      <c r="T32" s="2"/>
      <c r="U32" s="2">
        <f t="shared" ref="U32" si="94">D32-($O32/5)</f>
        <v>14976.919696764953</v>
      </c>
      <c r="V32" s="2">
        <f t="shared" ref="V32" si="95">E32-($O32/5)</f>
        <v>5296.6225647656738</v>
      </c>
      <c r="W32" s="2"/>
      <c r="X32" s="2">
        <f t="shared" ref="X32" si="96">G32-($O32/5)</f>
        <v>5939.0827044048137</v>
      </c>
      <c r="Y32" s="2">
        <f t="shared" ref="Y32" si="97">H32-($O32/5)</f>
        <v>49699.169256012792</v>
      </c>
      <c r="Z32" s="2">
        <f t="shared" ref="Z32" si="98">SUM(S32:Y32)</f>
        <v>98951.270016947441</v>
      </c>
      <c r="AA32" s="2">
        <f t="shared" ref="AA32" si="99">Z32-Z31</f>
        <v>1733.545039470162</v>
      </c>
      <c r="AB32" s="6">
        <f t="shared" ref="AB32" si="100">(AA32/Z31)</f>
        <v>1.7831573819195805E-2</v>
      </c>
      <c r="AC32" s="7">
        <f t="shared" ref="AC32" si="101">AB32+1</f>
        <v>1.0178315738191959</v>
      </c>
      <c r="AD32" s="2">
        <f t="shared" ref="AD32" si="102">Z32-(I32-O32)</f>
        <v>0</v>
      </c>
      <c r="AE32" s="2"/>
      <c r="AG32">
        <f t="shared" ref="AG32" si="103">A32</f>
        <v>2016</v>
      </c>
      <c r="AH32" s="6">
        <f t="shared" ref="AH32" si="104">S32/$Z32</f>
        <v>0.2328365850287038</v>
      </c>
      <c r="AI32" s="6"/>
      <c r="AJ32" s="6">
        <f t="shared" ref="AJ32" si="105">U32/$Z32</f>
        <v>0.15135651815484377</v>
      </c>
      <c r="AK32" s="6">
        <f t="shared" ref="AK32" si="106">V32/$Z32</f>
        <v>5.3527585485850945E-2</v>
      </c>
      <c r="AL32" s="7"/>
      <c r="AM32" s="6">
        <f t="shared" ref="AM32" si="107">X32/$Z32</f>
        <v>6.002027769211677E-2</v>
      </c>
      <c r="AN32" s="6">
        <f t="shared" ref="AN32" si="108">Y32/$Z32</f>
        <v>0.50225903363848479</v>
      </c>
      <c r="AO32" s="20">
        <f t="shared" ref="AO32" si="109">SUM(AH32:AN32)</f>
        <v>1</v>
      </c>
      <c r="AP32" s="22"/>
    </row>
    <row r="33" spans="1:42" x14ac:dyDescent="0.2">
      <c r="A33">
        <f t="shared" si="11"/>
        <v>2017</v>
      </c>
      <c r="B33" s="2">
        <f t="shared" si="27"/>
        <v>28032.13019977554</v>
      </c>
      <c r="C33" s="2"/>
      <c r="D33" s="2">
        <f t="shared" ref="D33:E33" si="110">U32*(1+(D14/100))</f>
        <v>17912.395957330882</v>
      </c>
      <c r="E33" s="2">
        <f t="shared" si="110"/>
        <v>6149.378797692947</v>
      </c>
      <c r="F33" s="2"/>
      <c r="G33" s="2">
        <f t="shared" ref="G33:H33" si="111">X32*(1+(G14/100))</f>
        <v>7566.3913654117332</v>
      </c>
      <c r="H33" s="2">
        <f t="shared" si="111"/>
        <v>51418.760512270834</v>
      </c>
      <c r="I33" s="2">
        <f t="shared" ref="I33:I34" si="112">SUM(B33:H33)</f>
        <v>111079.05683248193</v>
      </c>
      <c r="J33" s="2">
        <f t="shared" ref="J33:J34" si="113">I33-I32</f>
        <v>7222.9245674537669</v>
      </c>
      <c r="K33" s="6">
        <f t="shared" ref="K33:K34" si="114">(J33/I32)</f>
        <v>6.9547405722964389E-2</v>
      </c>
      <c r="L33" s="7">
        <f t="shared" ref="L33:L34" si="115">K33+1</f>
        <v>1.0695474057229644</v>
      </c>
      <c r="N33">
        <f t="shared" ref="N33:N34" si="116">A33</f>
        <v>2017</v>
      </c>
      <c r="O33" s="2">
        <f t="shared" si="32"/>
        <v>5014.2406762129112</v>
      </c>
      <c r="P33" s="2"/>
      <c r="Q33" s="2"/>
      <c r="R33">
        <f t="shared" ref="R33:R34" si="117">A33</f>
        <v>2017</v>
      </c>
      <c r="S33" s="2">
        <f t="shared" ref="S33:S34" si="118">B33-($O33/5)</f>
        <v>27029.282064532959</v>
      </c>
      <c r="T33" s="2"/>
      <c r="U33" s="2">
        <f t="shared" ref="U33:U34" si="119">D33-($O33/5)</f>
        <v>16909.547822088301</v>
      </c>
      <c r="V33" s="2">
        <f t="shared" ref="V33:V34" si="120">E33-($O33/5)</f>
        <v>5146.5306624503646</v>
      </c>
      <c r="W33" s="2"/>
      <c r="X33" s="2">
        <f t="shared" ref="X33:X34" si="121">G33-($O33/5)</f>
        <v>6563.5432301691508</v>
      </c>
      <c r="Y33" s="2">
        <f t="shared" ref="Y33:Y34" si="122">H33-($O33/5)</f>
        <v>50415.912377028253</v>
      </c>
      <c r="Z33" s="2">
        <f t="shared" ref="Z33:Z34" si="123">SUM(S33:Y33)</f>
        <v>106064.81615626902</v>
      </c>
      <c r="AA33" s="2">
        <f t="shared" ref="AA33:AA34" si="124">Z33-Z32</f>
        <v>7113.546139321581</v>
      </c>
      <c r="AB33" s="6">
        <f t="shared" ref="AB33:AB34" si="125">(AA33/Z32)</f>
        <v>7.1889386948780346E-2</v>
      </c>
      <c r="AC33" s="7">
        <f t="shared" ref="AC33:AC34" si="126">AB33+1</f>
        <v>1.0718893869487804</v>
      </c>
      <c r="AD33" s="2">
        <f t="shared" ref="AD33:AD34" si="127">Z33-(I33-O33)</f>
        <v>0</v>
      </c>
      <c r="AE33" s="2"/>
      <c r="AG33">
        <f t="shared" ref="AG33:AG34" si="128">A33</f>
        <v>2017</v>
      </c>
      <c r="AH33" s="6">
        <f t="shared" ref="AH33:AH34" si="129">S33/$Z33</f>
        <v>0.25483740079000156</v>
      </c>
      <c r="AI33" s="6"/>
      <c r="AJ33" s="6">
        <f t="shared" ref="AJ33:AJ34" si="130">U33/$Z33</f>
        <v>0.15942655099854103</v>
      </c>
      <c r="AK33" s="6">
        <f t="shared" ref="AK33:AK34" si="131">V33/$Z33</f>
        <v>4.8522505850269897E-2</v>
      </c>
      <c r="AL33" s="7"/>
      <c r="AM33" s="6">
        <f t="shared" ref="AM33:AM34" si="132">X33/$Z33</f>
        <v>6.1882379737488558E-2</v>
      </c>
      <c r="AN33" s="6">
        <f t="shared" ref="AN33:AN34" si="133">Y33/$Z33</f>
        <v>0.47533116262369907</v>
      </c>
      <c r="AO33" s="20">
        <f t="shared" ref="AO33:AO34" si="134">SUM(AH33:AN33)</f>
        <v>1.0000000000000002</v>
      </c>
      <c r="AP33" s="22"/>
    </row>
    <row r="34" spans="1:42" x14ac:dyDescent="0.2">
      <c r="A34">
        <f t="shared" si="11"/>
        <v>2018</v>
      </c>
      <c r="B34" s="2">
        <f t="shared" si="27"/>
        <v>25812.964371628976</v>
      </c>
      <c r="C34" s="2"/>
      <c r="D34" s="2">
        <f t="shared" ref="D34:E34" si="135">U33*(1+(D15/100))</f>
        <v>15336.959874634091</v>
      </c>
      <c r="E34" s="2">
        <f t="shared" si="135"/>
        <v>4662.7567801800305</v>
      </c>
      <c r="F34" s="2"/>
      <c r="G34" s="2">
        <f t="shared" ref="G34:H34" si="136">X33*(1+(G15/100))</f>
        <v>5611.829461794624</v>
      </c>
      <c r="H34" s="2">
        <f t="shared" si="136"/>
        <v>50365.496464651224</v>
      </c>
      <c r="I34" s="2">
        <f t="shared" si="112"/>
        <v>101790.00695288894</v>
      </c>
      <c r="J34" s="2">
        <f t="shared" si="113"/>
        <v>-9289.0498795929889</v>
      </c>
      <c r="K34" s="6">
        <f t="shared" si="114"/>
        <v>-8.3625573933363367E-2</v>
      </c>
      <c r="L34" s="7">
        <f t="shared" si="115"/>
        <v>0.91637442606663666</v>
      </c>
      <c r="N34">
        <f t="shared" si="116"/>
        <v>2018</v>
      </c>
      <c r="O34" s="2">
        <f t="shared" si="32"/>
        <v>5124.9989904976583</v>
      </c>
      <c r="P34" s="2"/>
      <c r="Q34" s="2"/>
      <c r="R34">
        <f t="shared" si="117"/>
        <v>2018</v>
      </c>
      <c r="S34" s="2">
        <f t="shared" si="118"/>
        <v>24787.964573529443</v>
      </c>
      <c r="T34" s="2"/>
      <c r="U34" s="2">
        <f t="shared" si="119"/>
        <v>14311.960076534559</v>
      </c>
      <c r="V34" s="2">
        <f t="shared" si="120"/>
        <v>3637.7569820804988</v>
      </c>
      <c r="W34" s="2"/>
      <c r="X34" s="2">
        <f t="shared" si="121"/>
        <v>4586.8296636950927</v>
      </c>
      <c r="Y34" s="2">
        <f t="shared" si="122"/>
        <v>49340.496666551691</v>
      </c>
      <c r="Z34" s="2">
        <f t="shared" si="123"/>
        <v>96665.007962391275</v>
      </c>
      <c r="AA34" s="2">
        <f t="shared" si="124"/>
        <v>-9399.8081938777468</v>
      </c>
      <c r="AB34" s="6">
        <f t="shared" si="125"/>
        <v>-8.8623245054502142E-2</v>
      </c>
      <c r="AC34" s="7">
        <f t="shared" si="126"/>
        <v>0.91137675494549786</v>
      </c>
      <c r="AD34" s="2">
        <f t="shared" si="127"/>
        <v>0</v>
      </c>
      <c r="AE34" s="2"/>
      <c r="AG34">
        <f t="shared" si="128"/>
        <v>2018</v>
      </c>
      <c r="AH34" s="6">
        <f t="shared" si="129"/>
        <v>0.2564316198388305</v>
      </c>
      <c r="AI34" s="6"/>
      <c r="AJ34" s="6">
        <f t="shared" si="130"/>
        <v>0.14805729992907884</v>
      </c>
      <c r="AK34" s="6">
        <f t="shared" si="131"/>
        <v>3.7632614518542364E-2</v>
      </c>
      <c r="AL34" s="7"/>
      <c r="AM34" s="6">
        <f t="shared" si="132"/>
        <v>4.7450776246557143E-2</v>
      </c>
      <c r="AN34" s="6">
        <f t="shared" si="133"/>
        <v>0.51042768946699124</v>
      </c>
      <c r="AO34" s="20">
        <f t="shared" si="134"/>
        <v>1</v>
      </c>
      <c r="AP34" s="22"/>
    </row>
    <row r="35" spans="1:42" x14ac:dyDescent="0.2">
      <c r="A35">
        <f t="shared" si="11"/>
        <v>2019</v>
      </c>
      <c r="B35" s="2">
        <f t="shared" si="27"/>
        <v>32585.266709778865</v>
      </c>
      <c r="C35" s="2"/>
      <c r="D35" s="2">
        <f t="shared" ref="D35" si="137">U34*(1+(D16/100))</f>
        <v>18753.190279644456</v>
      </c>
      <c r="E35" s="2">
        <f t="shared" ref="E35" si="138">V34*(1+(E16/100))</f>
        <v>4633.3164863943975</v>
      </c>
      <c r="F35" s="2"/>
      <c r="G35" s="2">
        <f t="shared" ref="G35" si="139">X34*(1+(G16/100))</f>
        <v>5573.3649877626331</v>
      </c>
      <c r="H35" s="2">
        <f t="shared" ref="H35" si="140">Y34*(1+(H16/100))</f>
        <v>53640.027546075005</v>
      </c>
      <c r="I35" s="2">
        <f t="shared" ref="I35" si="141">SUM(B35:H35)</f>
        <v>115185.16600965535</v>
      </c>
      <c r="J35" s="2">
        <f t="shared" ref="J35" si="142">I35-I34</f>
        <v>13395.15905676641</v>
      </c>
      <c r="K35" s="6">
        <f t="shared" ref="K35" si="143">(J35/I34)</f>
        <v>0.13159601278901609</v>
      </c>
      <c r="L35" s="7">
        <f t="shared" ref="L35" si="144">K35+1</f>
        <v>1.1315960127890161</v>
      </c>
      <c r="N35">
        <f t="shared" ref="N35" si="145">A35</f>
        <v>2019</v>
      </c>
      <c r="O35" s="2">
        <f t="shared" si="32"/>
        <v>5242.1717217769447</v>
      </c>
      <c r="P35" s="2"/>
      <c r="Q35" s="2"/>
      <c r="R35">
        <f t="shared" ref="R35" si="146">A35</f>
        <v>2019</v>
      </c>
      <c r="S35" s="2">
        <f t="shared" ref="S35" si="147">B35-($O35/5)</f>
        <v>31536.832365423477</v>
      </c>
      <c r="T35" s="2"/>
      <c r="U35" s="2">
        <f t="shared" ref="U35" si="148">D35-($O35/5)</f>
        <v>17704.755935289068</v>
      </c>
      <c r="V35" s="2">
        <f t="shared" ref="V35" si="149">E35-($O35/5)</f>
        <v>3584.8821420390086</v>
      </c>
      <c r="W35" s="2"/>
      <c r="X35" s="2">
        <f t="shared" ref="X35" si="150">G35-($O35/5)</f>
        <v>4524.9306434072441</v>
      </c>
      <c r="Y35" s="2">
        <f t="shared" ref="Y35" si="151">H35-($O35/5)</f>
        <v>52591.593201719617</v>
      </c>
      <c r="Z35" s="2">
        <f t="shared" ref="Z35" si="152">SUM(S35:Y35)</f>
        <v>109942.99428787842</v>
      </c>
      <c r="AA35" s="2">
        <f t="shared" ref="AA35" si="153">Z35-Z34</f>
        <v>13277.986325487145</v>
      </c>
      <c r="AB35" s="6">
        <f t="shared" ref="AB35" si="154">(AA35/Z34)</f>
        <v>0.13736083620510445</v>
      </c>
      <c r="AC35" s="7">
        <f t="shared" ref="AC35" si="155">AB35+1</f>
        <v>1.1373608362051044</v>
      </c>
      <c r="AD35" s="2">
        <f t="shared" ref="AD35" si="156">Z35-(I35-O35)</f>
        <v>0</v>
      </c>
      <c r="AE35" s="2"/>
      <c r="AG35">
        <f t="shared" ref="AG35" si="157">A35</f>
        <v>2019</v>
      </c>
      <c r="AH35" s="6">
        <f t="shared" ref="AH35" si="158">S35/$Z35</f>
        <v>0.28684712991212863</v>
      </c>
      <c r="AI35" s="6"/>
      <c r="AJ35" s="6">
        <f t="shared" ref="AJ35" si="159">U35/$Z35</f>
        <v>0.16103578086049158</v>
      </c>
      <c r="AK35" s="6">
        <f t="shared" ref="AK35" si="160">V35/$Z35</f>
        <v>3.2606735565635342E-2</v>
      </c>
      <c r="AL35" s="7"/>
      <c r="AM35" s="6">
        <f t="shared" ref="AM35" si="161">X35/$Z35</f>
        <v>4.1157062100373711E-2</v>
      </c>
      <c r="AN35" s="6">
        <f t="shared" ref="AN35" si="162">Y35/$Z35</f>
        <v>0.47835329156137069</v>
      </c>
      <c r="AO35" s="20">
        <f t="shared" ref="AO35" si="163">SUM(AH35:AN35)</f>
        <v>1</v>
      </c>
      <c r="AP35" s="22"/>
    </row>
    <row r="36" spans="1:42" x14ac:dyDescent="0.2">
      <c r="A36" s="9" t="s">
        <v>44</v>
      </c>
      <c r="B36" s="10">
        <f>S35</f>
        <v>31536.832365423477</v>
      </c>
      <c r="C36" s="10"/>
      <c r="D36" s="10">
        <f>U35</f>
        <v>17704.755935289068</v>
      </c>
      <c r="E36" s="10">
        <f>V35</f>
        <v>3584.8821420390086</v>
      </c>
      <c r="F36" s="10"/>
      <c r="G36" s="10">
        <f>X35</f>
        <v>4524.9306434072441</v>
      </c>
      <c r="H36" s="10">
        <f>Y35</f>
        <v>52591.593201719617</v>
      </c>
      <c r="I36" s="10">
        <f>SUM(B36:H36)</f>
        <v>109942.99428787842</v>
      </c>
      <c r="J36" s="10"/>
      <c r="K36" s="10"/>
      <c r="N36" t="s">
        <v>75</v>
      </c>
      <c r="O36" s="2">
        <f>O35</f>
        <v>5242.1717217769447</v>
      </c>
      <c r="P36" s="2"/>
      <c r="R36" s="9" t="s">
        <v>44</v>
      </c>
      <c r="S36" s="10">
        <f>S35</f>
        <v>31536.832365423477</v>
      </c>
      <c r="T36" s="10"/>
      <c r="U36" s="10">
        <f>U35</f>
        <v>17704.755935289068</v>
      </c>
      <c r="V36" s="10">
        <f>V35</f>
        <v>3584.8821420390086</v>
      </c>
      <c r="W36" s="10"/>
      <c r="X36" s="10">
        <f>X35</f>
        <v>4524.9306434072441</v>
      </c>
      <c r="Y36" s="10">
        <f>Y35</f>
        <v>52591.593201719617</v>
      </c>
      <c r="Z36" s="10">
        <f>Z35</f>
        <v>109942.99428787842</v>
      </c>
      <c r="AA36" s="40"/>
      <c r="AB36" s="40"/>
      <c r="AC36" s="40"/>
      <c r="AD36" s="40"/>
      <c r="AE36" s="40"/>
      <c r="AH36" s="6"/>
      <c r="AK36" s="7"/>
      <c r="AN36" s="6"/>
    </row>
    <row r="37" spans="1:42" x14ac:dyDescent="0.2">
      <c r="A37" s="11" t="s">
        <v>88</v>
      </c>
      <c r="I37" s="6">
        <f>(Z36-Z22)/Z22</f>
        <v>9.9429942878784205E-2</v>
      </c>
      <c r="K37" s="6"/>
      <c r="N37" t="s">
        <v>36</v>
      </c>
      <c r="O37" s="2">
        <f>SUM(O23:O35)</f>
        <v>61394.201903991627</v>
      </c>
      <c r="P37" s="2"/>
    </row>
    <row r="38" spans="1:42" x14ac:dyDescent="0.2">
      <c r="A38" s="1" t="s">
        <v>89</v>
      </c>
      <c r="I38" s="12">
        <f>STDEV(AC23:AC35)</f>
        <v>0.10368873498345582</v>
      </c>
    </row>
    <row r="39" spans="1:42" x14ac:dyDescent="0.2">
      <c r="A39" s="1" t="s">
        <v>90</v>
      </c>
      <c r="I39" s="13">
        <f>((1+I37)^(1/I46))-1</f>
        <v>7.3183268406376012E-3</v>
      </c>
    </row>
    <row r="40" spans="1:42" x14ac:dyDescent="0.2">
      <c r="A40" s="1" t="s">
        <v>48</v>
      </c>
      <c r="I40" s="27">
        <f>J24</f>
        <v>-26552.679323539996</v>
      </c>
      <c r="O40" s="2"/>
      <c r="P40" s="2"/>
    </row>
    <row r="41" spans="1:42" x14ac:dyDescent="0.2">
      <c r="A41" s="1" t="s">
        <v>49</v>
      </c>
      <c r="I41" s="28">
        <f>K24</f>
        <v>-0.24770896362721273</v>
      </c>
    </row>
    <row r="42" spans="1:42" x14ac:dyDescent="0.2">
      <c r="A42" s="1" t="s">
        <v>77</v>
      </c>
      <c r="I42" s="2">
        <f>O37</f>
        <v>61394.201903991627</v>
      </c>
    </row>
    <row r="43" spans="1:42" x14ac:dyDescent="0.2">
      <c r="A43" s="3" t="s">
        <v>50</v>
      </c>
      <c r="I43" s="29">
        <f>I36-Z35</f>
        <v>0</v>
      </c>
    </row>
    <row r="44" spans="1:42" x14ac:dyDescent="0.2">
      <c r="A44" s="3" t="s">
        <v>134</v>
      </c>
      <c r="I44" s="29">
        <f>((SUM(AA23:AA35)))-(I36-I22)</f>
        <v>0</v>
      </c>
    </row>
    <row r="45" spans="1:42" x14ac:dyDescent="0.2">
      <c r="A45" s="3" t="s">
        <v>135</v>
      </c>
      <c r="I45" s="29">
        <f>(SUM(O23:O35))-I42</f>
        <v>0</v>
      </c>
    </row>
    <row r="46" spans="1:42" x14ac:dyDescent="0.2">
      <c r="A46" s="3" t="s">
        <v>139</v>
      </c>
      <c r="I46" s="3">
        <f>COUNTA(I23:I35)</f>
        <v>13</v>
      </c>
    </row>
  </sheetData>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K50"/>
  <sheetViews>
    <sheetView topLeftCell="A14" zoomScaleNormal="100" workbookViewId="0">
      <selection activeCell="BK36" sqref="BK36"/>
    </sheetView>
  </sheetViews>
  <sheetFormatPr baseColWidth="10" defaultColWidth="8.83203125" defaultRowHeight="15" x14ac:dyDescent="0.2"/>
  <cols>
    <col min="1" max="1" width="25.5" customWidth="1"/>
    <col min="9" max="9" width="11.6640625" customWidth="1"/>
    <col min="10" max="10" width="10" bestFit="1" customWidth="1"/>
    <col min="11" max="12" width="0" hidden="1" customWidth="1"/>
    <col min="15" max="15" width="9.83203125" bestFit="1" customWidth="1"/>
    <col min="16" max="16" width="9.83203125" customWidth="1"/>
    <col min="18" max="18" width="9.1640625" customWidth="1"/>
    <col min="19" max="19" width="10.83203125" bestFit="1" customWidth="1"/>
    <col min="21" max="21" width="11.83203125" bestFit="1" customWidth="1"/>
    <col min="26" max="26" width="10.83203125" bestFit="1" customWidth="1"/>
    <col min="27" max="27" width="10" bestFit="1" customWidth="1"/>
    <col min="30" max="31" width="10.83203125" customWidth="1"/>
    <col min="54" max="54" width="10.83203125" bestFit="1" customWidth="1"/>
    <col min="61" max="61" width="9.33203125" bestFit="1" customWidth="1"/>
  </cols>
  <sheetData>
    <row r="1" spans="1:16" x14ac:dyDescent="0.2">
      <c r="A1" s="18" t="s">
        <v>17</v>
      </c>
      <c r="N1" s="18" t="s">
        <v>131</v>
      </c>
    </row>
    <row r="2" spans="1:16" x14ac:dyDescent="0.2">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16" x14ac:dyDescent="0.2">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16" x14ac:dyDescent="0.2">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16" x14ac:dyDescent="0.2">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16" x14ac:dyDescent="0.2">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16" x14ac:dyDescent="0.2">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16" x14ac:dyDescent="0.2">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16" x14ac:dyDescent="0.2">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1.29E-2</v>
      </c>
      <c r="P11" s="41"/>
    </row>
    <row r="12" spans="1:16" x14ac:dyDescent="0.2">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 Withdrawals-No Rebalancing'!N12</f>
        <v>2015</v>
      </c>
      <c r="O12" s="47">
        <f>'4% Withdrawals-No Rebalancing'!O12</f>
        <v>4.4000000000000003E-3</v>
      </c>
      <c r="P12" s="41"/>
    </row>
    <row r="13" spans="1:16" x14ac:dyDescent="0.2">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 Withdrawals-No Rebalancing'!N13</f>
        <v>2016</v>
      </c>
      <c r="O13" s="47">
        <f>'4% Withdrawals-No Rebalancing'!O13</f>
        <v>1.7000000000000001E-2</v>
      </c>
      <c r="P13" s="41"/>
    </row>
    <row r="14" spans="1:16" x14ac:dyDescent="0.2">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 Withdrawals-No Rebalancing'!N14</f>
        <v>2017</v>
      </c>
      <c r="O14" s="47">
        <f>'4% Withdrawals-No Rebalancing'!O14</f>
        <v>2.23E-2</v>
      </c>
      <c r="P14" s="41"/>
    </row>
    <row r="15" spans="1:16" x14ac:dyDescent="0.2">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 Withdrawals-No Rebalancing'!N15</f>
        <v>2018</v>
      </c>
      <c r="O15" s="47">
        <f>'4% Withdrawals-No Rebalancing'!O15</f>
        <v>2.2088751106458498E-2</v>
      </c>
      <c r="P15" s="41"/>
    </row>
    <row r="16" spans="1:16" x14ac:dyDescent="0.2">
      <c r="A16" s="16">
        <f>'Non-Rebalanced Strategy'!A16</f>
        <v>2019</v>
      </c>
      <c r="B16" s="16">
        <f>'Non-Rebalanced Strategy'!B16</f>
        <v>31.456</v>
      </c>
      <c r="C16" s="16"/>
      <c r="D16" s="16">
        <f>'Non-Rebalanced Strategy'!D16</f>
        <v>31.031600000000001</v>
      </c>
      <c r="E16" s="16">
        <f>'Non-Rebalanced Strategy'!E16</f>
        <v>27.3674</v>
      </c>
      <c r="F16" s="16"/>
      <c r="G16" s="16">
        <f>'Non-Rebalanced Strategy'!G16</f>
        <v>21.507999999999999</v>
      </c>
      <c r="H16" s="16">
        <f>'Non-Rebalanced Strategy'!H16</f>
        <v>8.7140000000000004</v>
      </c>
      <c r="N16" s="46">
        <f>'4% Withdrawals-No Rebalancing'!N16</f>
        <v>2019</v>
      </c>
      <c r="O16" s="47">
        <f>'4% Withdrawals-No Rebalancing'!O16</f>
        <v>2.2862976460393248E-2</v>
      </c>
      <c r="P16" s="41"/>
    </row>
    <row r="17" spans="1:63" x14ac:dyDescent="0.2">
      <c r="A17" s="16">
        <f>'Non-Rebalanced Strategy'!A17</f>
        <v>2020</v>
      </c>
      <c r="B17" s="16">
        <f>'Non-Rebalanced Strategy'!B17</f>
        <v>18.37</v>
      </c>
      <c r="C17" s="16"/>
      <c r="D17" s="16">
        <f>'Non-Rebalanced Strategy'!D17</f>
        <v>18.239999999999998</v>
      </c>
      <c r="E17" s="16">
        <f>'Non-Rebalanced Strategy'!E17</f>
        <v>19.11</v>
      </c>
      <c r="F17" s="16"/>
      <c r="G17" s="16">
        <f>'Non-Rebalanced Strategy'!G17</f>
        <v>11.28</v>
      </c>
      <c r="H17" s="16">
        <f>'Non-Rebalanced Strategy'!H17</f>
        <v>7.72</v>
      </c>
      <c r="N17" s="46">
        <f>'4% Withdrawals-No Rebalancing'!N17</f>
        <v>0</v>
      </c>
      <c r="O17" s="47">
        <f>'4% Withdrawals-No Rebalancing'!O17</f>
        <v>0</v>
      </c>
      <c r="P17" s="41"/>
    </row>
    <row r="20" spans="1:63" x14ac:dyDescent="0.2">
      <c r="A20" s="18" t="s">
        <v>103</v>
      </c>
      <c r="N20" s="18" t="s">
        <v>64</v>
      </c>
      <c r="R20" s="18" t="s">
        <v>104</v>
      </c>
      <c r="AG20" s="18" t="s">
        <v>105</v>
      </c>
      <c r="AQ20" s="18" t="s">
        <v>65</v>
      </c>
      <c r="BA20" s="18" t="s">
        <v>106</v>
      </c>
    </row>
    <row r="21" spans="1:63" x14ac:dyDescent="0.2">
      <c r="B21" s="4" t="str">
        <f t="shared" ref="B21:H22" si="0">B2</f>
        <v>LC Stocks</v>
      </c>
      <c r="C21" s="4" t="str">
        <f t="shared" si="0"/>
        <v>Ext Mkt</v>
      </c>
      <c r="D21" s="4" t="str">
        <f t="shared" si="0"/>
        <v>Mcap Stk</v>
      </c>
      <c r="E21" s="4" t="str">
        <f t="shared" si="0"/>
        <v>Small Cap</v>
      </c>
      <c r="F21" s="4" t="str">
        <f t="shared" si="0"/>
        <v>Intl Val</v>
      </c>
      <c r="G21" s="4" t="str">
        <f t="shared" si="0"/>
        <v>Tot Int Stk</v>
      </c>
      <c r="H21" s="4" t="str">
        <f t="shared" si="0"/>
        <v>Bonds</v>
      </c>
      <c r="I21" s="5"/>
      <c r="J21" s="5" t="s">
        <v>42</v>
      </c>
      <c r="K21" s="5" t="s">
        <v>39</v>
      </c>
      <c r="L21" s="5" t="s">
        <v>40</v>
      </c>
      <c r="S21" s="4" t="str">
        <f t="shared" ref="S21:Y23" si="1">B21</f>
        <v>LC Stocks</v>
      </c>
      <c r="T21" s="4" t="str">
        <f t="shared" si="1"/>
        <v>Ext Mkt</v>
      </c>
      <c r="U21" s="4" t="str">
        <f t="shared" si="1"/>
        <v>Mcap Stk</v>
      </c>
      <c r="V21" s="4" t="str">
        <f t="shared" si="1"/>
        <v>Small Cap</v>
      </c>
      <c r="W21" s="4" t="str">
        <f t="shared" si="1"/>
        <v>Intl Val</v>
      </c>
      <c r="X21" s="4" t="str">
        <f t="shared" si="1"/>
        <v>Tot Int Stk</v>
      </c>
      <c r="Y21" s="4" t="str">
        <f t="shared" si="1"/>
        <v>Bonds</v>
      </c>
      <c r="Z21" s="5"/>
      <c r="AA21" s="5" t="s">
        <v>42</v>
      </c>
      <c r="AB21" s="5" t="s">
        <v>39</v>
      </c>
      <c r="AC21" s="5" t="s">
        <v>40</v>
      </c>
      <c r="AD21" s="5" t="s">
        <v>54</v>
      </c>
      <c r="AE21" s="5"/>
      <c r="AH21" s="4" t="str">
        <f t="shared" ref="AH21:AN22" si="2">B21</f>
        <v>LC Stocks</v>
      </c>
      <c r="AI21" s="4" t="str">
        <f t="shared" si="2"/>
        <v>Ext Mkt</v>
      </c>
      <c r="AJ21" s="4" t="str">
        <f t="shared" si="2"/>
        <v>Mcap Stk</v>
      </c>
      <c r="AK21" s="4" t="str">
        <f t="shared" si="2"/>
        <v>Small Cap</v>
      </c>
      <c r="AL21" s="4" t="str">
        <f t="shared" si="2"/>
        <v>Intl Val</v>
      </c>
      <c r="AM21" s="4" t="str">
        <f t="shared" si="2"/>
        <v>Tot Int Stk</v>
      </c>
      <c r="AN21" s="4" t="str">
        <f t="shared" si="2"/>
        <v>Bonds</v>
      </c>
      <c r="AO21" s="5"/>
      <c r="AR21" s="4" t="str">
        <f>AH21</f>
        <v>LC Stocks</v>
      </c>
      <c r="AS21" s="4" t="str">
        <f t="shared" ref="AS21:AY23" si="3">AI21</f>
        <v>Ext Mkt</v>
      </c>
      <c r="AT21" s="4" t="str">
        <f t="shared" si="3"/>
        <v>Mcap Stk</v>
      </c>
      <c r="AU21" s="4" t="str">
        <f t="shared" si="3"/>
        <v>Small Cap</v>
      </c>
      <c r="AV21" s="4" t="str">
        <f t="shared" si="3"/>
        <v>Intl Val</v>
      </c>
      <c r="AW21" s="4" t="str">
        <f t="shared" si="3"/>
        <v>Tot Int Stk</v>
      </c>
      <c r="AX21" s="4" t="str">
        <f t="shared" si="3"/>
        <v>Bonds</v>
      </c>
      <c r="AY21" s="5"/>
      <c r="BB21" s="4" t="str">
        <f>AR21</f>
        <v>LC Stocks</v>
      </c>
      <c r="BC21" s="4" t="str">
        <f t="shared" ref="BC21:BI23" si="4">AS21</f>
        <v>Ext Mkt</v>
      </c>
      <c r="BD21" s="4" t="str">
        <f t="shared" si="4"/>
        <v>Mcap Stk</v>
      </c>
      <c r="BE21" s="4" t="str">
        <f t="shared" si="4"/>
        <v>Small Cap</v>
      </c>
      <c r="BF21" s="4" t="str">
        <f t="shared" si="4"/>
        <v>Intl Val</v>
      </c>
      <c r="BG21" s="4" t="str">
        <f t="shared" si="4"/>
        <v>Tot Int Stk</v>
      </c>
      <c r="BH21" s="4" t="str">
        <f t="shared" si="4"/>
        <v>Bonds</v>
      </c>
      <c r="BI21" s="4"/>
      <c r="BJ21" t="s">
        <v>54</v>
      </c>
    </row>
    <row r="22" spans="1:63" x14ac:dyDescent="0.2">
      <c r="A22" t="s">
        <v>38</v>
      </c>
      <c r="B22" s="4" t="str">
        <f t="shared" si="0"/>
        <v>VFINX</v>
      </c>
      <c r="C22" s="4" t="str">
        <f t="shared" si="0"/>
        <v>VEXMX</v>
      </c>
      <c r="D22" s="4" t="str">
        <f t="shared" si="0"/>
        <v>VIMSX</v>
      </c>
      <c r="E22" s="4" t="str">
        <f t="shared" si="0"/>
        <v>NAESX</v>
      </c>
      <c r="F22" s="4" t="str">
        <f t="shared" si="0"/>
        <v>VTRIX</v>
      </c>
      <c r="G22" s="4" t="str">
        <f t="shared" si="0"/>
        <v>VGTSX</v>
      </c>
      <c r="H22" s="4" t="str">
        <f t="shared" si="0"/>
        <v>VBMFX</v>
      </c>
      <c r="I22" s="5" t="s">
        <v>36</v>
      </c>
      <c r="J22" s="5" t="s">
        <v>43</v>
      </c>
      <c r="K22" s="5" t="s">
        <v>41</v>
      </c>
      <c r="L22" s="5" t="s">
        <v>41</v>
      </c>
      <c r="R22" t="str">
        <f t="shared" ref="R22:R28" si="5">A22</f>
        <v>Fund</v>
      </c>
      <c r="S22" s="4" t="str">
        <f t="shared" si="1"/>
        <v>VFINX</v>
      </c>
      <c r="T22" s="4" t="str">
        <f t="shared" si="1"/>
        <v>VEXMX</v>
      </c>
      <c r="U22" s="4" t="str">
        <f t="shared" si="1"/>
        <v>VIMSX</v>
      </c>
      <c r="V22" s="4" t="str">
        <f t="shared" si="1"/>
        <v>NAESX</v>
      </c>
      <c r="W22" s="4" t="str">
        <f t="shared" si="1"/>
        <v>VTRIX</v>
      </c>
      <c r="X22" s="4" t="str">
        <f t="shared" si="1"/>
        <v>VGTSX</v>
      </c>
      <c r="Y22" s="4" t="str">
        <f t="shared" si="1"/>
        <v>VBMFX</v>
      </c>
      <c r="Z22" s="5" t="str">
        <f t="shared" ref="Z22:Z23" si="6">I22</f>
        <v>Total</v>
      </c>
      <c r="AA22" s="5" t="s">
        <v>43</v>
      </c>
      <c r="AB22" s="5" t="s">
        <v>41</v>
      </c>
      <c r="AC22" s="5" t="s">
        <v>41</v>
      </c>
      <c r="AD22" s="5" t="s">
        <v>53</v>
      </c>
      <c r="AE22" s="5"/>
      <c r="AG22" t="s">
        <v>38</v>
      </c>
      <c r="AH22" s="4" t="str">
        <f t="shared" si="2"/>
        <v>VFINX</v>
      </c>
      <c r="AI22" s="4" t="str">
        <f t="shared" si="2"/>
        <v>VEXMX</v>
      </c>
      <c r="AJ22" s="4" t="str">
        <f t="shared" si="2"/>
        <v>VIMSX</v>
      </c>
      <c r="AK22" s="4" t="str">
        <f t="shared" si="2"/>
        <v>NAESX</v>
      </c>
      <c r="AL22" s="4" t="str">
        <f t="shared" si="2"/>
        <v>VTRIX</v>
      </c>
      <c r="AM22" s="4" t="str">
        <f t="shared" si="2"/>
        <v>VGTSX</v>
      </c>
      <c r="AN22" s="4" t="str">
        <f t="shared" si="2"/>
        <v>VBMFX</v>
      </c>
      <c r="AO22" s="5" t="s">
        <v>36</v>
      </c>
      <c r="AQ22" t="str">
        <f>AG22</f>
        <v>Fund</v>
      </c>
      <c r="AR22" s="4" t="str">
        <f>AH22</f>
        <v>VFINX</v>
      </c>
      <c r="AS22" s="4" t="str">
        <f t="shared" si="3"/>
        <v>VEXMX</v>
      </c>
      <c r="AT22" s="4" t="str">
        <f t="shared" si="3"/>
        <v>VIMSX</v>
      </c>
      <c r="AU22" s="4" t="str">
        <f t="shared" si="3"/>
        <v>NAESX</v>
      </c>
      <c r="AV22" s="4" t="str">
        <f t="shared" si="3"/>
        <v>VTRIX</v>
      </c>
      <c r="AW22" s="4" t="str">
        <f t="shared" si="3"/>
        <v>VGTSX</v>
      </c>
      <c r="AX22" s="4" t="str">
        <f t="shared" si="3"/>
        <v>VBMFX</v>
      </c>
      <c r="AY22" s="4" t="str">
        <f t="shared" si="3"/>
        <v>Total</v>
      </c>
      <c r="BA22" t="s">
        <v>38</v>
      </c>
      <c r="BB22" s="4" t="str">
        <f>AR22</f>
        <v>VFINX</v>
      </c>
      <c r="BC22" s="4" t="str">
        <f t="shared" si="4"/>
        <v>VEXMX</v>
      </c>
      <c r="BD22" s="4" t="str">
        <f t="shared" si="4"/>
        <v>VIMSX</v>
      </c>
      <c r="BE22" s="4" t="str">
        <f t="shared" si="4"/>
        <v>NAESX</v>
      </c>
      <c r="BF22" s="4" t="str">
        <f t="shared" si="4"/>
        <v>VTRIX</v>
      </c>
      <c r="BG22" s="4" t="str">
        <f t="shared" si="4"/>
        <v>VGTSX</v>
      </c>
      <c r="BH22" s="4" t="str">
        <f t="shared" si="4"/>
        <v>VBMFX</v>
      </c>
      <c r="BI22" s="4" t="str">
        <f t="shared" si="4"/>
        <v>Total</v>
      </c>
      <c r="BJ22" t="s">
        <v>53</v>
      </c>
    </row>
    <row r="23" spans="1:63" x14ac:dyDescent="0.2">
      <c r="A23" t="s">
        <v>37</v>
      </c>
      <c r="B23" s="2">
        <f>'Non-Rebalanced Strategy'!B23</f>
        <v>20000</v>
      </c>
      <c r="C23" s="2"/>
      <c r="D23" s="2">
        <f>'Non-Rebalanced Strategy'!D23</f>
        <v>15000</v>
      </c>
      <c r="E23" s="2">
        <f>'Non-Rebalanced Strategy'!E23</f>
        <v>10000</v>
      </c>
      <c r="F23" s="2"/>
      <c r="G23" s="2">
        <f>'Non-Rebalanced Strategy'!G23</f>
        <v>15000</v>
      </c>
      <c r="H23" s="2">
        <f>'Non-Rebalanced Strategy'!H23</f>
        <v>40000</v>
      </c>
      <c r="I23" s="2">
        <f t="shared" ref="I23:I38" si="7">SUM(B23:H23)</f>
        <v>100000</v>
      </c>
      <c r="N23" s="19"/>
      <c r="R23" t="str">
        <f t="shared" si="5"/>
        <v>Stating Balance</v>
      </c>
      <c r="S23" s="2">
        <f t="shared" si="1"/>
        <v>20000</v>
      </c>
      <c r="T23" s="2">
        <f t="shared" si="1"/>
        <v>0</v>
      </c>
      <c r="U23" s="2">
        <f t="shared" si="1"/>
        <v>15000</v>
      </c>
      <c r="V23" s="2">
        <f t="shared" si="1"/>
        <v>10000</v>
      </c>
      <c r="W23" s="2">
        <f t="shared" si="1"/>
        <v>0</v>
      </c>
      <c r="X23" s="2">
        <f t="shared" si="1"/>
        <v>15000</v>
      </c>
      <c r="Y23" s="2">
        <f t="shared" si="1"/>
        <v>40000</v>
      </c>
      <c r="Z23" s="2">
        <f t="shared" si="6"/>
        <v>100000</v>
      </c>
      <c r="AD23" s="2"/>
      <c r="AE23" s="2"/>
      <c r="AG23" s="19" t="s">
        <v>52</v>
      </c>
      <c r="AH23" s="6">
        <f t="shared" ref="AH23:AM28" si="8">S23/$Z23</f>
        <v>0.2</v>
      </c>
      <c r="AI23" s="6"/>
      <c r="AJ23" s="6">
        <f t="shared" si="8"/>
        <v>0.15</v>
      </c>
      <c r="AK23" s="6">
        <f t="shared" si="8"/>
        <v>0.1</v>
      </c>
      <c r="AL23" s="6"/>
      <c r="AM23" s="6">
        <f t="shared" si="8"/>
        <v>0.15</v>
      </c>
      <c r="AN23" s="6">
        <f>Y23/$Z23</f>
        <v>0.4</v>
      </c>
      <c r="AO23" s="6">
        <f>Z23/$Z23</f>
        <v>1</v>
      </c>
      <c r="AP23" s="22"/>
      <c r="AQ23" s="19" t="str">
        <f>AG23</f>
        <v>Target Allocation</v>
      </c>
      <c r="AR23" s="22">
        <f>AH23</f>
        <v>0.2</v>
      </c>
      <c r="AS23" s="22">
        <f t="shared" si="3"/>
        <v>0</v>
      </c>
      <c r="AT23" s="22">
        <f>AJ23</f>
        <v>0.15</v>
      </c>
      <c r="AU23" s="22">
        <f>AK23</f>
        <v>0.1</v>
      </c>
      <c r="AV23" s="22"/>
      <c r="AW23" s="22">
        <f>AM23</f>
        <v>0.15</v>
      </c>
      <c r="AX23" s="22">
        <f>AN23</f>
        <v>0.4</v>
      </c>
      <c r="AY23" s="22">
        <f t="shared" si="3"/>
        <v>1</v>
      </c>
      <c r="BA23" s="19" t="str">
        <f>AQ23</f>
        <v>Target Allocation</v>
      </c>
      <c r="BB23" s="22">
        <f>AR23</f>
        <v>0.2</v>
      </c>
      <c r="BC23" s="22"/>
      <c r="BD23" s="22">
        <f>AT23</f>
        <v>0.15</v>
      </c>
      <c r="BE23" s="22">
        <f>AU23</f>
        <v>0.1</v>
      </c>
      <c r="BF23" s="22"/>
      <c r="BG23" s="22">
        <f>AW23</f>
        <v>0.15</v>
      </c>
      <c r="BH23" s="22">
        <f t="shared" si="4"/>
        <v>0.4</v>
      </c>
      <c r="BI23" s="22">
        <f t="shared" si="4"/>
        <v>1</v>
      </c>
      <c r="BJ23" s="2"/>
    </row>
    <row r="24" spans="1:63" x14ac:dyDescent="0.2">
      <c r="A24">
        <f t="shared" ref="A24:A35" si="9">A4</f>
        <v>2007</v>
      </c>
      <c r="B24" s="2">
        <f>B23*(1+(B4/100))</f>
        <v>21078</v>
      </c>
      <c r="C24" s="2"/>
      <c r="D24" s="2">
        <f>D23*(1+(D4/100))</f>
        <v>15903.150000000001</v>
      </c>
      <c r="E24" s="2">
        <f>E23*(1+(E4/100))</f>
        <v>10115.6</v>
      </c>
      <c r="F24" s="2"/>
      <c r="G24" s="2">
        <f>G23*(1+(G4/100))</f>
        <v>17328.3</v>
      </c>
      <c r="H24" s="2">
        <f>H23*(1+(H4/100))</f>
        <v>42768</v>
      </c>
      <c r="I24" s="2">
        <f t="shared" si="7"/>
        <v>107193.05</v>
      </c>
      <c r="J24" s="2">
        <f>I24-I23</f>
        <v>7193.0500000000029</v>
      </c>
      <c r="K24" s="6" t="e">
        <f>(J24/#REF!)</f>
        <v>#REF!</v>
      </c>
      <c r="L24" s="7" t="e">
        <f t="shared" ref="L24:L29" si="10">K24+1</f>
        <v>#REF!</v>
      </c>
      <c r="N24">
        <f t="shared" ref="N24:N29" si="11">A24</f>
        <v>2007</v>
      </c>
      <c r="O24" s="2">
        <f>I24*0.04</f>
        <v>4287.7219999999998</v>
      </c>
      <c r="P24" s="2"/>
      <c r="Q24" s="2"/>
      <c r="R24">
        <f t="shared" si="5"/>
        <v>2007</v>
      </c>
      <c r="S24" s="2">
        <f t="shared" ref="S24:S28" si="12">B24-($O24/5)</f>
        <v>20220.455600000001</v>
      </c>
      <c r="T24" s="2"/>
      <c r="U24" s="2">
        <f t="shared" ref="U24:V28" si="13">D24-($O24/5)</f>
        <v>15045.605600000001</v>
      </c>
      <c r="V24" s="2">
        <f t="shared" si="13"/>
        <v>9258.0555999999997</v>
      </c>
      <c r="W24" s="2"/>
      <c r="X24" s="2">
        <f t="shared" ref="X24:Y28" si="14">G24-($O24/5)</f>
        <v>16470.7556</v>
      </c>
      <c r="Y24" s="2">
        <f t="shared" si="14"/>
        <v>41910.455600000001</v>
      </c>
      <c r="Z24" s="2">
        <f t="shared" ref="Z24:Z28" si="15">SUM(S24:Y24)</f>
        <v>102905.32800000001</v>
      </c>
      <c r="AA24" s="2">
        <f>Z24-Z23</f>
        <v>2905.3280000000086</v>
      </c>
      <c r="AB24" s="6">
        <f>(AA24/Z23)</f>
        <v>2.9053280000000088E-2</v>
      </c>
      <c r="AC24" s="7">
        <f t="shared" ref="AC24:AC28" si="16">AB24+1</f>
        <v>1.0290532800000001</v>
      </c>
      <c r="AD24" s="2">
        <f t="shared" ref="AD24:AD28" si="17">Z24-(I24-O24)</f>
        <v>0</v>
      </c>
      <c r="AE24" s="2"/>
      <c r="AG24">
        <f t="shared" ref="AG24:AG28" si="18">A24</f>
        <v>2007</v>
      </c>
      <c r="AH24" s="6">
        <f t="shared" si="8"/>
        <v>0.19649571108699054</v>
      </c>
      <c r="AI24" s="6"/>
      <c r="AJ24" s="6">
        <f t="shared" si="8"/>
        <v>0.14620822743016765</v>
      </c>
      <c r="AK24" s="6">
        <f t="shared" si="8"/>
        <v>8.9966727475957312E-2</v>
      </c>
      <c r="AL24" s="6"/>
      <c r="AM24" s="6">
        <f t="shared" si="8"/>
        <v>0.16005736457105504</v>
      </c>
      <c r="AN24" s="6">
        <f t="shared" ref="AN24:AN28" si="19">Y24/$Z24</f>
        <v>0.40727196943582938</v>
      </c>
      <c r="AO24" s="20">
        <f>SUM(AH24:AN24)</f>
        <v>1</v>
      </c>
      <c r="AP24" s="22"/>
      <c r="AQ24">
        <f t="shared" ref="AQ24:AQ28" si="20">AG24</f>
        <v>2007</v>
      </c>
      <c r="AR24" s="1" t="b">
        <f t="shared" ref="AR24" si="21">AND((S24/$Z24)&gt;0.15,(S24/$Z24)&lt;0.25)</f>
        <v>1</v>
      </c>
      <c r="AS24" s="1"/>
      <c r="AT24" s="1" t="b">
        <f>AND((U24/$Z24)&gt;0.1,(U24/$Z24)&lt;0.2)</f>
        <v>1</v>
      </c>
      <c r="AU24" s="1" t="b">
        <f t="shared" ref="AU24" si="22">AND((V24/$Z24)&gt;0.05,(V24/$Z24)&lt;0.15)</f>
        <v>1</v>
      </c>
      <c r="AV24" s="1"/>
      <c r="AW24" s="1" t="b">
        <f>AND((X24/$Z24)&gt;0.1,(X24/$Z24)&lt;0.2)</f>
        <v>1</v>
      </c>
      <c r="AX24" s="1" t="b">
        <f>AND((Y24/$Z24)&gt;0.35,(Y24/$Z24)&lt;0.45)</f>
        <v>1</v>
      </c>
      <c r="AY24" s="1" t="b">
        <f t="shared" ref="AY24:AY28" si="23">AND((Z24/$Z24)&gt;0.999,(Z24/$Z24)&lt;1.01)</f>
        <v>1</v>
      </c>
      <c r="BA24">
        <f t="shared" ref="BA24:BA28" si="24">AQ24</f>
        <v>2007</v>
      </c>
      <c r="BB24" s="2">
        <f t="shared" ref="BB24" si="25">S24</f>
        <v>20220.455600000001</v>
      </c>
      <c r="BC24" s="2"/>
      <c r="BD24" s="2">
        <f t="shared" ref="BD24" si="26">U24</f>
        <v>15045.605600000001</v>
      </c>
      <c r="BE24" s="2">
        <f t="shared" ref="BE24" si="27">V24</f>
        <v>9258.0555999999997</v>
      </c>
      <c r="BF24" s="2"/>
      <c r="BG24" s="2">
        <f t="shared" ref="BG24" si="28">X24</f>
        <v>16470.7556</v>
      </c>
      <c r="BH24" s="2">
        <f t="shared" ref="BH24" si="29">Y24</f>
        <v>41910.455600000001</v>
      </c>
      <c r="BI24" s="2">
        <f t="shared" ref="BI24:BI28" si="30">Z24</f>
        <v>102905.32800000001</v>
      </c>
      <c r="BJ24" s="2">
        <f t="shared" ref="BJ24:BJ28" si="31">SUM(BB24:BH24)-Z24</f>
        <v>0</v>
      </c>
      <c r="BK24" s="2"/>
    </row>
    <row r="25" spans="1:63" x14ac:dyDescent="0.2">
      <c r="A25">
        <f t="shared" si="9"/>
        <v>2008</v>
      </c>
      <c r="B25" s="2">
        <f t="shared" ref="B25:H25" si="32">BB24*(1+(B5/100))</f>
        <v>12734.842936879999</v>
      </c>
      <c r="C25" s="2"/>
      <c r="D25" s="2">
        <f t="shared" si="32"/>
        <v>8752.9315138560014</v>
      </c>
      <c r="E25" s="2">
        <f t="shared" si="32"/>
        <v>5918.6749450799998</v>
      </c>
      <c r="F25" s="2"/>
      <c r="G25" s="2">
        <f t="shared" si="32"/>
        <v>9206.9876728439995</v>
      </c>
      <c r="H25" s="2">
        <f t="shared" si="32"/>
        <v>44026.933607799998</v>
      </c>
      <c r="I25" s="2">
        <f t="shared" si="7"/>
        <v>80640.370676460007</v>
      </c>
      <c r="J25" s="2">
        <f t="shared" ref="J25:J29" si="33">I25-I24</f>
        <v>-26552.679323539996</v>
      </c>
      <c r="K25" s="6">
        <f t="shared" ref="K25:K29" si="34">(J25/I24)</f>
        <v>-0.24770896362721273</v>
      </c>
      <c r="L25" s="7">
        <f t="shared" si="10"/>
        <v>0.75229103637278727</v>
      </c>
      <c r="N25">
        <f t="shared" si="11"/>
        <v>2008</v>
      </c>
      <c r="O25" s="2">
        <f t="shared" ref="O25:O35" si="35">O24*(1+O5)</f>
        <v>4287.7219999999998</v>
      </c>
      <c r="P25" s="2"/>
      <c r="Q25" s="2"/>
      <c r="R25">
        <f t="shared" si="5"/>
        <v>2008</v>
      </c>
      <c r="S25" s="2">
        <f t="shared" si="12"/>
        <v>11877.298536879998</v>
      </c>
      <c r="T25" s="2"/>
      <c r="U25" s="2">
        <f t="shared" si="13"/>
        <v>7895.3871138560016</v>
      </c>
      <c r="V25" s="2">
        <f t="shared" si="13"/>
        <v>5061.13054508</v>
      </c>
      <c r="W25" s="2"/>
      <c r="X25" s="2">
        <f t="shared" si="14"/>
        <v>8349.4432728439988</v>
      </c>
      <c r="Y25" s="2">
        <f t="shared" si="14"/>
        <v>43169.389207799999</v>
      </c>
      <c r="Z25" s="2">
        <f t="shared" si="15"/>
        <v>76352.648676459998</v>
      </c>
      <c r="AA25" s="2">
        <f t="shared" ref="AA25:AA28" si="36">Z25-Z24</f>
        <v>-26552.679323540011</v>
      </c>
      <c r="AB25" s="6">
        <f t="shared" ref="AB25:AB28" si="37">(AA25/Z24)</f>
        <v>-0.25803017044501336</v>
      </c>
      <c r="AC25" s="7">
        <f t="shared" si="16"/>
        <v>0.74196982955498658</v>
      </c>
      <c r="AD25" s="2">
        <f t="shared" si="17"/>
        <v>0</v>
      </c>
      <c r="AE25" s="2"/>
      <c r="AG25">
        <f t="shared" si="18"/>
        <v>2008</v>
      </c>
      <c r="AH25" s="6">
        <f t="shared" si="8"/>
        <v>0.15555843500871036</v>
      </c>
      <c r="AI25" s="6"/>
      <c r="AJ25" s="6">
        <f t="shared" si="8"/>
        <v>0.10340685294772491</v>
      </c>
      <c r="AK25" s="6">
        <f t="shared" si="8"/>
        <v>6.6286247207038657E-2</v>
      </c>
      <c r="AL25" s="6"/>
      <c r="AM25" s="6">
        <f t="shared" si="8"/>
        <v>0.10935368212600312</v>
      </c>
      <c r="AN25" s="6">
        <f t="shared" si="19"/>
        <v>0.56539478271052301</v>
      </c>
      <c r="AO25" s="20">
        <f t="shared" ref="AO25:AO28" si="38">SUM(AH25:AN25)</f>
        <v>1</v>
      </c>
      <c r="AP25" s="22"/>
      <c r="AQ25">
        <f t="shared" si="20"/>
        <v>2008</v>
      </c>
      <c r="AR25" s="1" t="b">
        <f t="shared" ref="AR25:AR37" si="39">AND((S25/$Z25)&gt;0.15,(S25/$Z25)&lt;0.25)</f>
        <v>1</v>
      </c>
      <c r="AS25" s="1"/>
      <c r="AT25" s="1" t="b">
        <f t="shared" ref="AT25:AT37" si="40">AND((U25/$Z25)&gt;0.1,(U25/$Z25)&lt;0.2)</f>
        <v>1</v>
      </c>
      <c r="AU25" s="1" t="b">
        <f t="shared" ref="AU25:AU37" si="41">AND((V25/$Z25)&gt;0.05,(V25/$Z25)&lt;0.15)</f>
        <v>1</v>
      </c>
      <c r="AV25" s="1"/>
      <c r="AW25" s="1" t="b">
        <f t="shared" ref="AW25:AW37" si="42">AND((X25/$Z25)&gt;0.1,(X25/$Z25)&lt;0.2)</f>
        <v>1</v>
      </c>
      <c r="AX25" s="35" t="b">
        <f t="shared" ref="AX25:AX37" si="43">AND((Y25/$Z25)&gt;0.35,(Y25/$Z25)&lt;0.45)</f>
        <v>0</v>
      </c>
      <c r="AY25" s="1" t="b">
        <f t="shared" si="23"/>
        <v>1</v>
      </c>
      <c r="BA25">
        <f t="shared" si="24"/>
        <v>2008</v>
      </c>
      <c r="BB25" s="36">
        <f>BB$23*$Z25</f>
        <v>15270.529735292001</v>
      </c>
      <c r="BC25" s="2"/>
      <c r="BD25" s="36">
        <f>BD$23*$Z25</f>
        <v>11452.897301469</v>
      </c>
      <c r="BE25" s="36">
        <f>BE$23*$Z25</f>
        <v>7635.2648676460003</v>
      </c>
      <c r="BF25" s="2"/>
      <c r="BG25" s="36">
        <f>BG$23*$Z25</f>
        <v>11452.897301469</v>
      </c>
      <c r="BH25" s="36">
        <f>BH$23*$Z25</f>
        <v>30541.059470584001</v>
      </c>
      <c r="BI25" s="2">
        <f t="shared" si="30"/>
        <v>76352.648676459998</v>
      </c>
      <c r="BJ25" s="2">
        <f t="shared" si="31"/>
        <v>0</v>
      </c>
      <c r="BK25" s="2"/>
    </row>
    <row r="26" spans="1:63" x14ac:dyDescent="0.2">
      <c r="A26">
        <f t="shared" si="9"/>
        <v>2009</v>
      </c>
      <c r="B26" s="2">
        <f t="shared" ref="B26:B35" si="44">BB25*(1+(B6/100))</f>
        <v>19315.693062170849</v>
      </c>
      <c r="C26" s="2"/>
      <c r="D26" s="2">
        <f t="shared" ref="D26:E31" si="45">BD25*(1+(D6/100))</f>
        <v>16059.023538173802</v>
      </c>
      <c r="E26" s="2">
        <f t="shared" si="45"/>
        <v>10392.969832542383</v>
      </c>
      <c r="F26" s="2"/>
      <c r="G26" s="2">
        <f t="shared" ref="G26:H31" si="46">BG25*(1+(G6/100))</f>
        <v>15659.202893379519</v>
      </c>
      <c r="H26" s="2">
        <f t="shared" si="46"/>
        <v>32352.144297189629</v>
      </c>
      <c r="I26" s="2">
        <f t="shared" si="7"/>
        <v>93779.033623456184</v>
      </c>
      <c r="J26" s="2">
        <f t="shared" si="33"/>
        <v>13138.662946996177</v>
      </c>
      <c r="K26" s="6">
        <f t="shared" si="34"/>
        <v>0.16292909911972325</v>
      </c>
      <c r="L26" s="7">
        <f t="shared" si="10"/>
        <v>1.1629290991197232</v>
      </c>
      <c r="N26">
        <f t="shared" si="11"/>
        <v>2009</v>
      </c>
      <c r="O26" s="2">
        <f t="shared" si="35"/>
        <v>4407.7782159999997</v>
      </c>
      <c r="P26" s="2"/>
      <c r="Q26" s="2"/>
      <c r="R26">
        <f t="shared" si="5"/>
        <v>2009</v>
      </c>
      <c r="S26" s="2">
        <f t="shared" si="12"/>
        <v>18434.137418970848</v>
      </c>
      <c r="T26" s="2"/>
      <c r="U26" s="2">
        <f t="shared" si="13"/>
        <v>15177.467894973803</v>
      </c>
      <c r="V26" s="2">
        <f t="shared" si="13"/>
        <v>9511.4141893423839</v>
      </c>
      <c r="W26" s="2"/>
      <c r="X26" s="2">
        <f t="shared" si="14"/>
        <v>14777.64725017952</v>
      </c>
      <c r="Y26" s="2">
        <f t="shared" si="14"/>
        <v>31470.588653989627</v>
      </c>
      <c r="Z26" s="2">
        <f t="shared" si="15"/>
        <v>89371.255407456192</v>
      </c>
      <c r="AA26" s="2">
        <f t="shared" si="36"/>
        <v>13018.606730996195</v>
      </c>
      <c r="AB26" s="6">
        <f t="shared" si="37"/>
        <v>0.17050628834320863</v>
      </c>
      <c r="AC26" s="7">
        <f t="shared" si="16"/>
        <v>1.1705062883432087</v>
      </c>
      <c r="AD26" s="2">
        <f t="shared" si="17"/>
        <v>0</v>
      </c>
      <c r="AE26" s="2"/>
      <c r="AG26">
        <f t="shared" si="18"/>
        <v>2009</v>
      </c>
      <c r="AH26" s="6">
        <f t="shared" si="8"/>
        <v>0.20626472499381382</v>
      </c>
      <c r="AI26" s="6"/>
      <c r="AJ26" s="6">
        <f t="shared" si="8"/>
        <v>0.16982493784805394</v>
      </c>
      <c r="AK26" s="6">
        <f t="shared" si="8"/>
        <v>0.10642587648543708</v>
      </c>
      <c r="AL26" s="6"/>
      <c r="AM26" s="6">
        <f t="shared" si="8"/>
        <v>0.16535123270682656</v>
      </c>
      <c r="AN26" s="6">
        <f t="shared" si="19"/>
        <v>0.35213322796586849</v>
      </c>
      <c r="AO26" s="20">
        <f t="shared" si="38"/>
        <v>0.99999999999999978</v>
      </c>
      <c r="AP26" s="22"/>
      <c r="AQ26">
        <f t="shared" si="20"/>
        <v>2009</v>
      </c>
      <c r="AR26" s="1" t="b">
        <f t="shared" si="39"/>
        <v>1</v>
      </c>
      <c r="AS26" s="1"/>
      <c r="AT26" s="1" t="b">
        <f t="shared" si="40"/>
        <v>1</v>
      </c>
      <c r="AU26" s="1" t="b">
        <f t="shared" si="41"/>
        <v>1</v>
      </c>
      <c r="AV26" s="1"/>
      <c r="AW26" s="1" t="b">
        <f t="shared" si="42"/>
        <v>1</v>
      </c>
      <c r="AX26" s="1" t="b">
        <f t="shared" si="43"/>
        <v>1</v>
      </c>
      <c r="AY26" s="1" t="b">
        <f t="shared" si="23"/>
        <v>1</v>
      </c>
      <c r="BA26">
        <f t="shared" si="24"/>
        <v>2009</v>
      </c>
      <c r="BB26" s="2">
        <f t="shared" ref="BB26" si="47">S26</f>
        <v>18434.137418970848</v>
      </c>
      <c r="BC26" s="2"/>
      <c r="BD26" s="2">
        <f t="shared" ref="BD26" si="48">U26</f>
        <v>15177.467894973803</v>
      </c>
      <c r="BE26" s="2">
        <f t="shared" ref="BE26" si="49">V26</f>
        <v>9511.4141893423839</v>
      </c>
      <c r="BF26" s="2"/>
      <c r="BG26" s="2">
        <f t="shared" ref="BG26" si="50">X26</f>
        <v>14777.64725017952</v>
      </c>
      <c r="BH26" s="2">
        <f t="shared" ref="BH26" si="51">Y26</f>
        <v>31470.588653989627</v>
      </c>
      <c r="BI26" s="2">
        <f t="shared" si="30"/>
        <v>89371.255407456192</v>
      </c>
      <c r="BJ26" s="2">
        <f t="shared" si="31"/>
        <v>0</v>
      </c>
      <c r="BK26" s="2"/>
    </row>
    <row r="27" spans="1:63" x14ac:dyDescent="0.2">
      <c r="A27">
        <f t="shared" si="9"/>
        <v>2010</v>
      </c>
      <c r="B27" s="2">
        <f t="shared" si="44"/>
        <v>21182.6673081394</v>
      </c>
      <c r="C27" s="2"/>
      <c r="D27" s="2">
        <f t="shared" si="45"/>
        <v>19041.651221034132</v>
      </c>
      <c r="E27" s="2">
        <f t="shared" si="45"/>
        <v>12147.978202628094</v>
      </c>
      <c r="F27" s="2"/>
      <c r="G27" s="2">
        <f t="shared" si="46"/>
        <v>16420.921624399482</v>
      </c>
      <c r="H27" s="2">
        <f t="shared" si="46"/>
        <v>33491.000445575759</v>
      </c>
      <c r="I27" s="2">
        <f t="shared" si="7"/>
        <v>102284.21880177686</v>
      </c>
      <c r="J27" s="2">
        <f t="shared" si="33"/>
        <v>8505.1851783206803</v>
      </c>
      <c r="K27" s="6">
        <f t="shared" si="34"/>
        <v>9.0693888065331352E-2</v>
      </c>
      <c r="L27" s="7">
        <f t="shared" si="10"/>
        <v>1.0906938880653314</v>
      </c>
      <c r="N27">
        <f t="shared" si="11"/>
        <v>2010</v>
      </c>
      <c r="O27" s="2">
        <f t="shared" si="35"/>
        <v>4469.4871110240001</v>
      </c>
      <c r="P27" s="2"/>
      <c r="Q27" s="2"/>
      <c r="R27">
        <f t="shared" si="5"/>
        <v>2010</v>
      </c>
      <c r="S27" s="2">
        <f t="shared" si="12"/>
        <v>20288.769885934598</v>
      </c>
      <c r="T27" s="2"/>
      <c r="U27" s="2">
        <f t="shared" si="13"/>
        <v>18147.753798829333</v>
      </c>
      <c r="V27" s="2">
        <f t="shared" si="13"/>
        <v>11254.080780423294</v>
      </c>
      <c r="W27" s="2"/>
      <c r="X27" s="2">
        <f t="shared" si="14"/>
        <v>15527.024202194681</v>
      </c>
      <c r="Y27" s="2">
        <f t="shared" si="14"/>
        <v>32597.103023370961</v>
      </c>
      <c r="Z27" s="2">
        <f t="shared" si="15"/>
        <v>97814.731690752873</v>
      </c>
      <c r="AA27" s="2">
        <f t="shared" si="36"/>
        <v>8443.4762832966808</v>
      </c>
      <c r="AB27" s="6">
        <f t="shared" si="37"/>
        <v>9.4476420240508854E-2</v>
      </c>
      <c r="AC27" s="7">
        <f t="shared" si="16"/>
        <v>1.0944764202405088</v>
      </c>
      <c r="AD27" s="2">
        <f t="shared" si="17"/>
        <v>0</v>
      </c>
      <c r="AE27" s="2"/>
      <c r="AG27">
        <f t="shared" si="18"/>
        <v>2010</v>
      </c>
      <c r="AH27" s="6">
        <f t="shared" si="8"/>
        <v>0.20742039092923914</v>
      </c>
      <c r="AI27" s="6"/>
      <c r="AJ27" s="6">
        <f t="shared" si="8"/>
        <v>0.18553190797685304</v>
      </c>
      <c r="AK27" s="6">
        <f t="shared" si="8"/>
        <v>0.11505506978236922</v>
      </c>
      <c r="AL27" s="6"/>
      <c r="AM27" s="6">
        <f t="shared" si="8"/>
        <v>0.15873911765442753</v>
      </c>
      <c r="AN27" s="6">
        <f t="shared" si="19"/>
        <v>0.33325351365711098</v>
      </c>
      <c r="AO27" s="20">
        <f t="shared" si="38"/>
        <v>0.99999999999999989</v>
      </c>
      <c r="AP27" s="22"/>
      <c r="AQ27">
        <f t="shared" si="20"/>
        <v>2010</v>
      </c>
      <c r="AR27" s="1" t="b">
        <f t="shared" si="39"/>
        <v>1</v>
      </c>
      <c r="AS27" s="1"/>
      <c r="AT27" s="1" t="b">
        <f t="shared" si="40"/>
        <v>1</v>
      </c>
      <c r="AU27" s="1" t="b">
        <f t="shared" si="41"/>
        <v>1</v>
      </c>
      <c r="AV27" s="1"/>
      <c r="AW27" s="1" t="b">
        <f t="shared" si="42"/>
        <v>1</v>
      </c>
      <c r="AX27" s="35" t="b">
        <f t="shared" si="43"/>
        <v>0</v>
      </c>
      <c r="AY27" s="1" t="b">
        <f t="shared" si="23"/>
        <v>1</v>
      </c>
      <c r="BA27">
        <f t="shared" si="24"/>
        <v>2010</v>
      </c>
      <c r="BB27" s="36">
        <f>BB$23*$Z27</f>
        <v>19562.946338150574</v>
      </c>
      <c r="BC27" s="2"/>
      <c r="BD27" s="36">
        <f>BD$23*$Z27</f>
        <v>14672.209753612931</v>
      </c>
      <c r="BE27" s="36">
        <f>BE$23*$Z27</f>
        <v>9781.4731690752869</v>
      </c>
      <c r="BF27" s="2"/>
      <c r="BG27" s="36">
        <f>BG$23*$Z27</f>
        <v>14672.209753612931</v>
      </c>
      <c r="BH27" s="36">
        <f>BH$23*$Z27</f>
        <v>39125.892676301148</v>
      </c>
      <c r="BI27" s="2">
        <f t="shared" si="30"/>
        <v>97814.731690752873</v>
      </c>
      <c r="BJ27" s="2">
        <f t="shared" si="31"/>
        <v>0</v>
      </c>
      <c r="BK27" s="2"/>
    </row>
    <row r="28" spans="1:63" x14ac:dyDescent="0.2">
      <c r="A28">
        <f t="shared" si="9"/>
        <v>2011</v>
      </c>
      <c r="B28" s="2">
        <f t="shared" si="44"/>
        <v>19948.336381012141</v>
      </c>
      <c r="C28" s="2"/>
      <c r="D28" s="2">
        <f t="shared" si="45"/>
        <v>14362.626127811698</v>
      </c>
      <c r="E28" s="2">
        <f t="shared" si="45"/>
        <v>9507.5919203411795</v>
      </c>
      <c r="F28" s="2"/>
      <c r="G28" s="2">
        <f t="shared" si="46"/>
        <v>12535.936013486889</v>
      </c>
      <c r="H28" s="2">
        <f t="shared" si="46"/>
        <v>42083.810162629517</v>
      </c>
      <c r="I28" s="2">
        <f t="shared" si="7"/>
        <v>98438.300605281431</v>
      </c>
      <c r="J28" s="2">
        <f t="shared" si="33"/>
        <v>-3845.9181964954332</v>
      </c>
      <c r="K28" s="6">
        <f t="shared" si="34"/>
        <v>-3.7600308645351091E-2</v>
      </c>
      <c r="L28" s="7">
        <f t="shared" si="10"/>
        <v>0.96239969135464887</v>
      </c>
      <c r="N28">
        <f t="shared" si="11"/>
        <v>2011</v>
      </c>
      <c r="O28" s="2">
        <f t="shared" si="35"/>
        <v>4603.5717243547206</v>
      </c>
      <c r="P28" s="2"/>
      <c r="Q28" s="2"/>
      <c r="R28">
        <f t="shared" si="5"/>
        <v>2011</v>
      </c>
      <c r="S28" s="2">
        <f t="shared" si="12"/>
        <v>19027.622036141198</v>
      </c>
      <c r="T28" s="2"/>
      <c r="U28" s="2">
        <f t="shared" si="13"/>
        <v>13441.911782940753</v>
      </c>
      <c r="V28" s="2">
        <f t="shared" si="13"/>
        <v>8586.8775754702347</v>
      </c>
      <c r="W28" s="2"/>
      <c r="X28" s="2">
        <f t="shared" si="14"/>
        <v>11615.221668615945</v>
      </c>
      <c r="Y28" s="2">
        <f t="shared" si="14"/>
        <v>41163.095817758571</v>
      </c>
      <c r="Z28" s="2">
        <f t="shared" si="15"/>
        <v>93834.728880926705</v>
      </c>
      <c r="AA28" s="2">
        <f t="shared" si="36"/>
        <v>-3980.0028098261682</v>
      </c>
      <c r="AB28" s="6">
        <f t="shared" si="37"/>
        <v>-4.06891962082888E-2</v>
      </c>
      <c r="AC28" s="7">
        <f t="shared" si="16"/>
        <v>0.95931080379171119</v>
      </c>
      <c r="AD28" s="2">
        <f t="shared" si="17"/>
        <v>0</v>
      </c>
      <c r="AE28" s="2"/>
      <c r="AG28">
        <f t="shared" si="18"/>
        <v>2011</v>
      </c>
      <c r="AH28" s="6">
        <f t="shared" si="8"/>
        <v>0.2027780360540781</v>
      </c>
      <c r="AI28" s="6"/>
      <c r="AJ28" s="6">
        <f t="shared" si="8"/>
        <v>0.14325092578461129</v>
      </c>
      <c r="AK28" s="6">
        <f t="shared" si="8"/>
        <v>9.1510655786800538E-2</v>
      </c>
      <c r="AL28" s="7"/>
      <c r="AM28" s="6">
        <f t="shared" si="8"/>
        <v>0.12378382510547127</v>
      </c>
      <c r="AN28" s="6">
        <f t="shared" si="19"/>
        <v>0.43867655726903876</v>
      </c>
      <c r="AO28" s="20">
        <f t="shared" si="38"/>
        <v>0.99999999999999989</v>
      </c>
      <c r="AP28" s="22"/>
      <c r="AQ28">
        <f t="shared" si="20"/>
        <v>2011</v>
      </c>
      <c r="AR28" s="1" t="b">
        <f t="shared" si="39"/>
        <v>1</v>
      </c>
      <c r="AS28" s="1"/>
      <c r="AT28" s="1" t="b">
        <f t="shared" si="40"/>
        <v>1</v>
      </c>
      <c r="AU28" s="1" t="b">
        <f t="shared" si="41"/>
        <v>1</v>
      </c>
      <c r="AV28" s="1"/>
      <c r="AW28" s="1" t="b">
        <f t="shared" si="42"/>
        <v>1</v>
      </c>
      <c r="AX28" s="1" t="b">
        <f t="shared" si="43"/>
        <v>1</v>
      </c>
      <c r="AY28" s="1" t="b">
        <f t="shared" si="23"/>
        <v>1</v>
      </c>
      <c r="BA28">
        <f t="shared" si="24"/>
        <v>2011</v>
      </c>
      <c r="BB28" s="2">
        <f t="shared" ref="BB28" si="52">S28</f>
        <v>19027.622036141198</v>
      </c>
      <c r="BC28" s="2"/>
      <c r="BD28" s="2">
        <f t="shared" ref="BD28" si="53">U28</f>
        <v>13441.911782940753</v>
      </c>
      <c r="BE28" s="2">
        <f t="shared" ref="BE28" si="54">V28</f>
        <v>8586.8775754702347</v>
      </c>
      <c r="BF28" s="2"/>
      <c r="BG28" s="2">
        <f t="shared" ref="BG28" si="55">X28</f>
        <v>11615.221668615945</v>
      </c>
      <c r="BH28" s="2">
        <f t="shared" ref="BH28" si="56">Y28</f>
        <v>41163.095817758571</v>
      </c>
      <c r="BI28" s="2">
        <f t="shared" si="30"/>
        <v>93834.728880926705</v>
      </c>
      <c r="BJ28" s="2">
        <f t="shared" si="31"/>
        <v>0</v>
      </c>
      <c r="BK28" s="2"/>
    </row>
    <row r="29" spans="1:63" x14ac:dyDescent="0.2">
      <c r="A29">
        <f t="shared" si="9"/>
        <v>2012</v>
      </c>
      <c r="B29" s="2">
        <f t="shared" si="44"/>
        <v>22037.791842258732</v>
      </c>
      <c r="C29" s="2"/>
      <c r="D29" s="2">
        <f t="shared" si="45"/>
        <v>15565.73384464539</v>
      </c>
      <c r="E29" s="2">
        <f t="shared" si="45"/>
        <v>10135.950290085066</v>
      </c>
      <c r="F29" s="2"/>
      <c r="G29" s="2">
        <f t="shared" si="46"/>
        <v>13722.222879302877</v>
      </c>
      <c r="H29" s="2">
        <f t="shared" si="46"/>
        <v>42830.201198377792</v>
      </c>
      <c r="I29" s="2">
        <f t="shared" si="7"/>
        <v>104291.90005466985</v>
      </c>
      <c r="J29" s="2">
        <f t="shared" si="33"/>
        <v>5853.5994493884209</v>
      </c>
      <c r="K29" s="6">
        <f t="shared" si="34"/>
        <v>5.9464653629690584E-2</v>
      </c>
      <c r="L29" s="7">
        <f t="shared" si="10"/>
        <v>1.0594646536296906</v>
      </c>
      <c r="N29">
        <f t="shared" si="11"/>
        <v>2012</v>
      </c>
      <c r="O29" s="2">
        <f t="shared" si="35"/>
        <v>4686.4360153931057</v>
      </c>
      <c r="P29" s="2"/>
      <c r="Q29" s="2"/>
      <c r="R29">
        <f t="shared" ref="R29:R31" si="57">A29</f>
        <v>2012</v>
      </c>
      <c r="S29" s="2">
        <f t="shared" ref="S29:S31" si="58">B29-($O29/5)</f>
        <v>21100.504639180112</v>
      </c>
      <c r="T29" s="2"/>
      <c r="U29" s="2">
        <f t="shared" ref="U29:U31" si="59">D29-($O29/5)</f>
        <v>14628.44664156677</v>
      </c>
      <c r="V29" s="2">
        <f t="shared" ref="V29:V31" si="60">E29-($O29/5)</f>
        <v>9198.6630870064437</v>
      </c>
      <c r="W29" s="2"/>
      <c r="X29" s="2">
        <f t="shared" ref="X29:X31" si="61">G29-($O29/5)</f>
        <v>12784.935676224257</v>
      </c>
      <c r="Y29" s="2">
        <f t="shared" ref="Y29:Y31" si="62">H29-($O29/5)</f>
        <v>41892.913995299168</v>
      </c>
      <c r="Z29" s="2">
        <f t="shared" ref="Z29:Z31" si="63">SUM(S29:Y29)</f>
        <v>99605.464039276747</v>
      </c>
      <c r="AA29" s="2">
        <f t="shared" ref="AA29:AA31" si="64">Z29-Z28</f>
        <v>5770.7351583500422</v>
      </c>
      <c r="AB29" s="6">
        <f t="shared" ref="AB29:AB31" si="65">(AA29/Z28)</f>
        <v>6.1498927179433983E-2</v>
      </c>
      <c r="AC29" s="7">
        <f t="shared" ref="AC29:AC31" si="66">AB29+1</f>
        <v>1.0614989271794339</v>
      </c>
      <c r="AD29" s="2">
        <f t="shared" ref="AD29:AD31" si="67">Z29-(I29-O29)</f>
        <v>0</v>
      </c>
      <c r="AE29" s="2"/>
      <c r="AG29">
        <f t="shared" ref="AG29:AG31" si="68">A29</f>
        <v>2012</v>
      </c>
      <c r="AH29" s="6">
        <f t="shared" ref="AH29:AH31" si="69">S29/$Z29</f>
        <v>0.21184083466404707</v>
      </c>
      <c r="AI29" s="6"/>
      <c r="AJ29" s="6">
        <f t="shared" ref="AJ29:AJ31" si="70">U29/$Z29</f>
        <v>0.14686389730385108</v>
      </c>
      <c r="AK29" s="6">
        <f t="shared" ref="AK29:AK31" si="71">V29/$Z29</f>
        <v>9.2350988730690489E-2</v>
      </c>
      <c r="AL29" s="7"/>
      <c r="AM29" s="6">
        <f t="shared" ref="AM29:AM31" si="72">X29/$Z29</f>
        <v>0.12835576641842519</v>
      </c>
      <c r="AN29" s="6">
        <f t="shared" ref="AN29:AN31" si="73">Y29/$Z29</f>
        <v>0.42058851288298621</v>
      </c>
      <c r="AO29" s="20">
        <f t="shared" ref="AO29:AO31" si="74">SUM(AH29:AN29)</f>
        <v>1</v>
      </c>
      <c r="AP29" s="22"/>
      <c r="AQ29">
        <f t="shared" ref="AQ29:AQ31" si="75">AG29</f>
        <v>2012</v>
      </c>
      <c r="AR29" s="1" t="b">
        <f t="shared" si="39"/>
        <v>1</v>
      </c>
      <c r="AS29" s="1"/>
      <c r="AT29" s="1" t="b">
        <f t="shared" si="40"/>
        <v>1</v>
      </c>
      <c r="AU29" s="1" t="b">
        <f t="shared" si="41"/>
        <v>1</v>
      </c>
      <c r="AV29" s="1"/>
      <c r="AW29" s="1" t="b">
        <f t="shared" si="42"/>
        <v>1</v>
      </c>
      <c r="AX29" s="1" t="b">
        <f t="shared" si="43"/>
        <v>1</v>
      </c>
      <c r="AY29" s="1" t="b">
        <f t="shared" ref="AY29:AY31" si="76">AND((Z29/$Z29)&gt;0.999,(Z29/$Z29)&lt;1.01)</f>
        <v>1</v>
      </c>
      <c r="BA29">
        <f t="shared" ref="BA29:BA31" si="77">AQ29</f>
        <v>2012</v>
      </c>
      <c r="BB29" s="2">
        <f t="shared" ref="BB29:BB30" si="78">S29</f>
        <v>21100.504639180112</v>
      </c>
      <c r="BC29" s="2"/>
      <c r="BD29" s="2">
        <f t="shared" ref="BD29:BD30" si="79">U29</f>
        <v>14628.44664156677</v>
      </c>
      <c r="BE29" s="2">
        <f t="shared" ref="BE29:BE30" si="80">V29</f>
        <v>9198.6630870064437</v>
      </c>
      <c r="BF29" s="2"/>
      <c r="BG29" s="2">
        <f t="shared" ref="BG29:BG30" si="81">X29</f>
        <v>12784.935676224257</v>
      </c>
      <c r="BH29" s="2">
        <f t="shared" ref="BH29:BH30" si="82">Y29</f>
        <v>41892.913995299168</v>
      </c>
      <c r="BI29" s="2">
        <f t="shared" ref="BI29:BI31" si="83">Z29</f>
        <v>99605.464039276747</v>
      </c>
      <c r="BJ29" s="2">
        <f t="shared" ref="BJ29:BJ31" si="84">SUM(BB29:BH29)-Z29</f>
        <v>0</v>
      </c>
      <c r="BK29" s="2"/>
    </row>
    <row r="30" spans="1:63" x14ac:dyDescent="0.2">
      <c r="A30">
        <f t="shared" si="9"/>
        <v>2013</v>
      </c>
      <c r="B30" s="2">
        <f t="shared" si="44"/>
        <v>27890.647032068275</v>
      </c>
      <c r="C30" s="2"/>
      <c r="D30" s="2">
        <f t="shared" si="45"/>
        <v>19748.40296611514</v>
      </c>
      <c r="E30" s="2">
        <f t="shared" si="45"/>
        <v>12659.200140338267</v>
      </c>
      <c r="F30" s="2"/>
      <c r="G30" s="2">
        <f t="shared" si="46"/>
        <v>14707.790001928384</v>
      </c>
      <c r="H30" s="2">
        <f t="shared" si="46"/>
        <v>40946.134139005408</v>
      </c>
      <c r="I30" s="2">
        <f t="shared" ref="I30:I31" si="85">SUM(B30:H30)</f>
        <v>115952.17427945547</v>
      </c>
      <c r="J30" s="2">
        <f t="shared" ref="J30:J31" si="86">I30-I29</f>
        <v>11660.274224785622</v>
      </c>
      <c r="K30" s="6">
        <f t="shared" ref="K30:K31" si="87">(J30/I29)</f>
        <v>0.11180421699742073</v>
      </c>
      <c r="L30" s="7">
        <f t="shared" ref="L30:L31" si="88">K30+1</f>
        <v>1.1118042169974207</v>
      </c>
      <c r="N30">
        <f t="shared" ref="N30:N31" si="89">A30</f>
        <v>2013</v>
      </c>
      <c r="O30" s="2">
        <f t="shared" si="35"/>
        <v>4740.5920812636277</v>
      </c>
      <c r="P30" s="2"/>
      <c r="Q30" s="2"/>
      <c r="R30">
        <f t="shared" si="57"/>
        <v>2013</v>
      </c>
      <c r="S30" s="2">
        <f t="shared" si="58"/>
        <v>26942.52861581555</v>
      </c>
      <c r="T30" s="2"/>
      <c r="U30" s="2">
        <f t="shared" si="59"/>
        <v>18800.284549862416</v>
      </c>
      <c r="V30" s="2">
        <f t="shared" si="60"/>
        <v>11711.081724085541</v>
      </c>
      <c r="W30" s="2"/>
      <c r="X30" s="2">
        <f t="shared" si="61"/>
        <v>13759.671585675658</v>
      </c>
      <c r="Y30" s="2">
        <f t="shared" si="62"/>
        <v>39998.01572275268</v>
      </c>
      <c r="Z30" s="2">
        <f t="shared" si="63"/>
        <v>111211.58219819184</v>
      </c>
      <c r="AA30" s="2">
        <f t="shared" si="64"/>
        <v>11606.118158915095</v>
      </c>
      <c r="AB30" s="6">
        <f t="shared" si="65"/>
        <v>0.11652089843523578</v>
      </c>
      <c r="AC30" s="7">
        <f t="shared" si="66"/>
        <v>1.1165208984352357</v>
      </c>
      <c r="AD30" s="2">
        <f t="shared" si="67"/>
        <v>0</v>
      </c>
      <c r="AE30" s="2"/>
      <c r="AG30">
        <f t="shared" si="68"/>
        <v>2013</v>
      </c>
      <c r="AH30" s="6">
        <f t="shared" si="69"/>
        <v>0.2422636930729109</v>
      </c>
      <c r="AI30" s="6"/>
      <c r="AJ30" s="6">
        <f t="shared" si="70"/>
        <v>0.16904969948506032</v>
      </c>
      <c r="AK30" s="6">
        <f t="shared" si="71"/>
        <v>0.10530451498491449</v>
      </c>
      <c r="AL30" s="7"/>
      <c r="AM30" s="6">
        <f t="shared" si="72"/>
        <v>0.12372516705278358</v>
      </c>
      <c r="AN30" s="6">
        <f t="shared" si="73"/>
        <v>0.35965692540433075</v>
      </c>
      <c r="AO30" s="20">
        <f t="shared" si="74"/>
        <v>1</v>
      </c>
      <c r="AP30" s="22"/>
      <c r="AQ30">
        <f t="shared" si="75"/>
        <v>2013</v>
      </c>
      <c r="AR30" s="1" t="b">
        <f t="shared" si="39"/>
        <v>1</v>
      </c>
      <c r="AS30" s="1"/>
      <c r="AT30" s="1" t="b">
        <f t="shared" si="40"/>
        <v>1</v>
      </c>
      <c r="AU30" s="1" t="b">
        <f t="shared" si="41"/>
        <v>1</v>
      </c>
      <c r="AV30" s="1"/>
      <c r="AW30" s="1" t="b">
        <f t="shared" si="42"/>
        <v>1</v>
      </c>
      <c r="AX30" s="1" t="b">
        <f t="shared" si="43"/>
        <v>1</v>
      </c>
      <c r="AY30" s="1" t="b">
        <f t="shared" si="76"/>
        <v>1</v>
      </c>
      <c r="BA30">
        <f t="shared" si="77"/>
        <v>2013</v>
      </c>
      <c r="BB30" s="2">
        <f t="shared" si="78"/>
        <v>26942.52861581555</v>
      </c>
      <c r="BC30" s="2"/>
      <c r="BD30" s="2">
        <f t="shared" si="79"/>
        <v>18800.284549862416</v>
      </c>
      <c r="BE30" s="2">
        <f t="shared" si="80"/>
        <v>11711.081724085541</v>
      </c>
      <c r="BF30" s="2"/>
      <c r="BG30" s="2">
        <f t="shared" si="81"/>
        <v>13759.671585675658</v>
      </c>
      <c r="BH30" s="2">
        <f t="shared" si="82"/>
        <v>39998.01572275268</v>
      </c>
      <c r="BI30" s="2">
        <f t="shared" si="83"/>
        <v>111211.58219819184</v>
      </c>
      <c r="BJ30" s="2">
        <f t="shared" si="84"/>
        <v>0</v>
      </c>
      <c r="BK30" s="2"/>
    </row>
    <row r="31" spans="1:63" x14ac:dyDescent="0.2">
      <c r="A31">
        <f t="shared" si="9"/>
        <v>2014</v>
      </c>
      <c r="B31" s="2">
        <f t="shared" si="44"/>
        <v>30582.464231812231</v>
      </c>
      <c r="C31" s="2"/>
      <c r="D31" s="2">
        <f t="shared" si="45"/>
        <v>21357.123248643707</v>
      </c>
      <c r="E31" s="2">
        <f t="shared" si="45"/>
        <v>12574.188447150647</v>
      </c>
      <c r="F31" s="2"/>
      <c r="G31" s="2">
        <f t="shared" si="46"/>
        <v>13176.26151044301</v>
      </c>
      <c r="H31" s="2">
        <f t="shared" si="46"/>
        <v>42301.901428383237</v>
      </c>
      <c r="I31" s="2">
        <f t="shared" si="85"/>
        <v>119991.93886643284</v>
      </c>
      <c r="J31" s="2">
        <f t="shared" si="86"/>
        <v>4039.7645869773696</v>
      </c>
      <c r="K31" s="6">
        <f t="shared" si="87"/>
        <v>3.4839920959491136E-2</v>
      </c>
      <c r="L31" s="7">
        <f t="shared" si="88"/>
        <v>1.0348399209594912</v>
      </c>
      <c r="N31">
        <f t="shared" si="89"/>
        <v>2014</v>
      </c>
      <c r="O31" s="2">
        <f t="shared" si="35"/>
        <v>4801.7457191119283</v>
      </c>
      <c r="P31" s="2"/>
      <c r="Q31" s="2"/>
      <c r="R31">
        <f t="shared" si="57"/>
        <v>2014</v>
      </c>
      <c r="S31" s="2">
        <f t="shared" si="58"/>
        <v>29622.115087989845</v>
      </c>
      <c r="T31" s="2"/>
      <c r="U31" s="2">
        <f t="shared" si="59"/>
        <v>20396.774104821321</v>
      </c>
      <c r="V31" s="2">
        <f t="shared" si="60"/>
        <v>11613.839303328261</v>
      </c>
      <c r="W31" s="2"/>
      <c r="X31" s="2">
        <f t="shared" si="61"/>
        <v>12215.912366620623</v>
      </c>
      <c r="Y31" s="2">
        <f t="shared" si="62"/>
        <v>41341.55228456085</v>
      </c>
      <c r="Z31" s="2">
        <f t="shared" si="63"/>
        <v>115190.19314732091</v>
      </c>
      <c r="AA31" s="2">
        <f t="shared" si="64"/>
        <v>3978.6109491290699</v>
      </c>
      <c r="AB31" s="6">
        <f t="shared" si="65"/>
        <v>3.5775149228960051E-2</v>
      </c>
      <c r="AC31" s="7">
        <f t="shared" si="66"/>
        <v>1.03577514922896</v>
      </c>
      <c r="AD31" s="2">
        <f t="shared" si="67"/>
        <v>0</v>
      </c>
      <c r="AE31" s="2"/>
      <c r="AG31">
        <f t="shared" si="68"/>
        <v>2014</v>
      </c>
      <c r="AH31" s="6">
        <f t="shared" si="69"/>
        <v>0.25715830730577083</v>
      </c>
      <c r="AI31" s="6"/>
      <c r="AJ31" s="6">
        <f t="shared" si="70"/>
        <v>0.17707040458500792</v>
      </c>
      <c r="AK31" s="6">
        <f t="shared" si="71"/>
        <v>0.10082316025353739</v>
      </c>
      <c r="AL31" s="7"/>
      <c r="AM31" s="6">
        <f t="shared" si="72"/>
        <v>0.10604993387759365</v>
      </c>
      <c r="AN31" s="6">
        <f t="shared" si="73"/>
        <v>0.35889819397809014</v>
      </c>
      <c r="AO31" s="20">
        <f t="shared" si="74"/>
        <v>1</v>
      </c>
      <c r="AP31" s="22"/>
      <c r="AQ31">
        <f t="shared" si="75"/>
        <v>2014</v>
      </c>
      <c r="AR31" s="65" t="b">
        <f t="shared" si="39"/>
        <v>0</v>
      </c>
      <c r="AS31" s="1"/>
      <c r="AT31" s="1" t="b">
        <f t="shared" si="40"/>
        <v>1</v>
      </c>
      <c r="AU31" s="1" t="b">
        <f t="shared" si="41"/>
        <v>1</v>
      </c>
      <c r="AV31" s="1"/>
      <c r="AW31" s="1" t="b">
        <f t="shared" si="42"/>
        <v>1</v>
      </c>
      <c r="AX31" s="1" t="b">
        <f t="shared" si="43"/>
        <v>1</v>
      </c>
      <c r="AY31" s="1" t="b">
        <f t="shared" si="76"/>
        <v>1</v>
      </c>
      <c r="BA31">
        <f t="shared" si="77"/>
        <v>2014</v>
      </c>
      <c r="BB31" s="36">
        <f>BB$23*$Z31</f>
        <v>23038.038629464183</v>
      </c>
      <c r="BC31" s="2"/>
      <c r="BD31" s="36">
        <f>BD$23*$Z31</f>
        <v>17278.528972098135</v>
      </c>
      <c r="BE31" s="36">
        <f>BE$23*$Z31</f>
        <v>11519.019314732092</v>
      </c>
      <c r="BF31" s="2"/>
      <c r="BG31" s="36">
        <f>BG$23*$Z31</f>
        <v>17278.528972098135</v>
      </c>
      <c r="BH31" s="36">
        <f>BH$23*$Z31</f>
        <v>46076.077258928366</v>
      </c>
      <c r="BI31" s="2">
        <f t="shared" si="83"/>
        <v>115190.19314732091</v>
      </c>
      <c r="BJ31" s="2">
        <f t="shared" si="84"/>
        <v>0</v>
      </c>
      <c r="BK31" s="2"/>
    </row>
    <row r="32" spans="1:63" x14ac:dyDescent="0.2">
      <c r="A32">
        <f t="shared" si="9"/>
        <v>2015</v>
      </c>
      <c r="B32" s="2">
        <f t="shared" si="44"/>
        <v>23326.014112332483</v>
      </c>
      <c r="C32" s="2"/>
      <c r="D32" s="2">
        <f t="shared" ref="D32:E32" si="90">BD31*(1+(D12/100))</f>
        <v>17026.262449105503</v>
      </c>
      <c r="E32" s="2">
        <f t="shared" si="90"/>
        <v>11083.600384635218</v>
      </c>
      <c r="F32" s="2"/>
      <c r="G32" s="2">
        <f t="shared" ref="G32:H32" si="91">BG31*(1+(G12/100))</f>
        <v>16523.457256017446</v>
      </c>
      <c r="H32" s="2">
        <f t="shared" si="91"/>
        <v>46214.305490705148</v>
      </c>
      <c r="I32" s="2">
        <f t="shared" ref="I32" si="92">SUM(B32:H32)</f>
        <v>114173.63969279581</v>
      </c>
      <c r="J32" s="2">
        <f t="shared" ref="J32" si="93">I32-I31</f>
        <v>-5818.2991736370313</v>
      </c>
      <c r="K32" s="6">
        <f t="shared" ref="K32" si="94">(J32/I31)</f>
        <v>-4.8489083755147752E-2</v>
      </c>
      <c r="L32" s="7">
        <f t="shared" ref="L32" si="95">K32+1</f>
        <v>0.95151091624485229</v>
      </c>
      <c r="N32">
        <f t="shared" ref="N32" si="96">A32</f>
        <v>2015</v>
      </c>
      <c r="O32" s="2">
        <f t="shared" si="35"/>
        <v>4822.8734002760202</v>
      </c>
      <c r="P32" s="2"/>
      <c r="Q32" s="2"/>
      <c r="R32">
        <f t="shared" ref="R32" si="97">A32</f>
        <v>2015</v>
      </c>
      <c r="S32" s="2">
        <f t="shared" ref="S32" si="98">B32-($O32/5)</f>
        <v>22361.439432277279</v>
      </c>
      <c r="T32" s="2"/>
      <c r="U32" s="2">
        <f t="shared" ref="U32" si="99">D32-($O32/5)</f>
        <v>16061.687769050299</v>
      </c>
      <c r="V32" s="2">
        <f t="shared" ref="V32" si="100">E32-($O32/5)</f>
        <v>10119.025704580014</v>
      </c>
      <c r="W32" s="2"/>
      <c r="X32" s="2">
        <f t="shared" ref="X32" si="101">G32-($O32/5)</f>
        <v>15558.882575962241</v>
      </c>
      <c r="Y32" s="2">
        <f t="shared" ref="Y32" si="102">H32-($O32/5)</f>
        <v>45249.730810649948</v>
      </c>
      <c r="Z32" s="2">
        <f t="shared" ref="Z32" si="103">SUM(S32:Y32)</f>
        <v>109350.76629251978</v>
      </c>
      <c r="AA32" s="2">
        <f t="shared" ref="AA32" si="104">Z32-Z31</f>
        <v>-5839.4268548011314</v>
      </c>
      <c r="AB32" s="6">
        <f t="shared" ref="AB32" si="105">(AA32/Z31)</f>
        <v>-5.0693784733331221E-2</v>
      </c>
      <c r="AC32" s="7">
        <f t="shared" ref="AC32" si="106">AB32+1</f>
        <v>0.94930621526666881</v>
      </c>
      <c r="AD32" s="2">
        <f t="shared" ref="AD32" si="107">Z32-(I32-O32)</f>
        <v>0</v>
      </c>
      <c r="AE32" s="2"/>
      <c r="AG32">
        <f t="shared" ref="AG32" si="108">A32</f>
        <v>2015</v>
      </c>
      <c r="AH32" s="6">
        <f t="shared" ref="AH32" si="109">S32/$Z32</f>
        <v>0.20449275474173728</v>
      </c>
      <c r="AI32" s="6"/>
      <c r="AJ32" s="6">
        <f t="shared" ref="AJ32" si="110">U32/$Z32</f>
        <v>0.14688226076152344</v>
      </c>
      <c r="AK32" s="6">
        <f t="shared" ref="AK32" si="111">V32/$Z32</f>
        <v>9.2537309500977979E-2</v>
      </c>
      <c r="AL32" s="7"/>
      <c r="AM32" s="6">
        <f t="shared" ref="AM32" si="112">X32/$Z32</f>
        <v>0.14228416593205492</v>
      </c>
      <c r="AN32" s="6">
        <f t="shared" ref="AN32" si="113">Y32/$Z32</f>
        <v>0.41380350906370639</v>
      </c>
      <c r="AO32" s="20">
        <f t="shared" ref="AO32" si="114">SUM(AH32:AN32)</f>
        <v>1</v>
      </c>
      <c r="AP32" s="22"/>
      <c r="AQ32">
        <f t="shared" ref="AQ32" si="115">AG32</f>
        <v>2015</v>
      </c>
      <c r="AR32" s="1" t="b">
        <f t="shared" si="39"/>
        <v>1</v>
      </c>
      <c r="AS32" s="1"/>
      <c r="AT32" s="1" t="b">
        <f t="shared" si="40"/>
        <v>1</v>
      </c>
      <c r="AU32" s="1" t="b">
        <f t="shared" si="41"/>
        <v>1</v>
      </c>
      <c r="AV32" s="1"/>
      <c r="AW32" s="1" t="b">
        <f t="shared" si="42"/>
        <v>1</v>
      </c>
      <c r="AX32" s="1" t="b">
        <f t="shared" si="43"/>
        <v>1</v>
      </c>
      <c r="AY32" s="1" t="b">
        <f t="shared" ref="AY32" si="116">AND((Z32/$Z32)&gt;0.999,(Z32/$Z32)&lt;1.01)</f>
        <v>1</v>
      </c>
      <c r="BA32">
        <f t="shared" ref="BA32" si="117">AQ32</f>
        <v>2015</v>
      </c>
      <c r="BB32" s="2">
        <f t="shared" ref="BB32" si="118">S32</f>
        <v>22361.439432277279</v>
      </c>
      <c r="BC32" s="2"/>
      <c r="BD32" s="2">
        <f t="shared" ref="BD32" si="119">U32</f>
        <v>16061.687769050299</v>
      </c>
      <c r="BE32" s="2">
        <f t="shared" ref="BE32" si="120">V32</f>
        <v>10119.025704580014</v>
      </c>
      <c r="BF32" s="2"/>
      <c r="BG32" s="2">
        <f t="shared" ref="BG32" si="121">X32</f>
        <v>15558.882575962241</v>
      </c>
      <c r="BH32" s="2">
        <f t="shared" ref="BH32" si="122">Y32</f>
        <v>45249.730810649948</v>
      </c>
      <c r="BI32" s="2">
        <f t="shared" ref="BI32" si="123">Z32</f>
        <v>109350.76629251978</v>
      </c>
      <c r="BJ32" s="2">
        <f t="shared" ref="BJ32" si="124">SUM(BB32:BH32)-Z32</f>
        <v>0</v>
      </c>
      <c r="BK32" s="2"/>
    </row>
    <row r="33" spans="1:63" x14ac:dyDescent="0.2">
      <c r="A33">
        <f t="shared" si="9"/>
        <v>2016</v>
      </c>
      <c r="B33" s="2">
        <f t="shared" si="44"/>
        <v>25004.561573172454</v>
      </c>
      <c r="C33" s="2"/>
      <c r="D33" s="2">
        <f>BD32*(1+(D13/100))</f>
        <v>17839.716605084166</v>
      </c>
      <c r="E33" s="2">
        <f>BE32*(1+(E13/100))</f>
        <v>11957.652675102201</v>
      </c>
      <c r="F33" s="2"/>
      <c r="G33" s="2">
        <f>BG32*(1+(G13/100))</f>
        <v>16282.370615744485</v>
      </c>
      <c r="H33" s="2">
        <f>BH32*(1+(H13/100))</f>
        <v>46380.974080916196</v>
      </c>
      <c r="I33" s="2">
        <f t="shared" ref="I33" si="125">SUM(B33:H33)</f>
        <v>117465.27555001949</v>
      </c>
      <c r="J33" s="2">
        <f t="shared" ref="J33" si="126">I33-I32</f>
        <v>3291.6358572236786</v>
      </c>
      <c r="K33" s="6">
        <f t="shared" ref="K33" si="127">(J33/I32)</f>
        <v>2.88300860520905E-2</v>
      </c>
      <c r="L33" s="7">
        <f t="shared" ref="L33" si="128">K33+1</f>
        <v>1.0288300860520905</v>
      </c>
      <c r="N33">
        <f t="shared" ref="N33" si="129">A33</f>
        <v>2016</v>
      </c>
      <c r="O33" s="2">
        <f t="shared" si="35"/>
        <v>4904.8622480807117</v>
      </c>
      <c r="P33" s="2"/>
      <c r="Q33" s="2"/>
      <c r="R33">
        <f t="shared" ref="R33" si="130">A33</f>
        <v>2016</v>
      </c>
      <c r="S33" s="2">
        <f t="shared" ref="S33" si="131">B33-($O33/5)</f>
        <v>24023.58912355631</v>
      </c>
      <c r="T33" s="2"/>
      <c r="U33" s="2">
        <f t="shared" ref="U33" si="132">D33-($O33/5)</f>
        <v>16858.744155468023</v>
      </c>
      <c r="V33" s="2">
        <f t="shared" ref="V33" si="133">E33-($O33/5)</f>
        <v>10976.680225486059</v>
      </c>
      <c r="W33" s="2"/>
      <c r="X33" s="2">
        <f t="shared" ref="X33" si="134">G33-($O33/5)</f>
        <v>15301.398166128343</v>
      </c>
      <c r="Y33" s="2">
        <f t="shared" ref="Y33" si="135">H33-($O33/5)</f>
        <v>45400.001631300052</v>
      </c>
      <c r="Z33" s="2">
        <f t="shared" ref="Z33" si="136">SUM(S33:Y33)</f>
        <v>112560.41330193878</v>
      </c>
      <c r="AA33" s="2">
        <f t="shared" ref="AA33" si="137">Z33-Z32</f>
        <v>3209.6470094190008</v>
      </c>
      <c r="AB33" s="6">
        <f t="shared" ref="AB33" si="138">(AA33/Z32)</f>
        <v>2.9351847437749132E-2</v>
      </c>
      <c r="AC33" s="7">
        <f t="shared" ref="AC33" si="139">AB33+1</f>
        <v>1.0293518474377492</v>
      </c>
      <c r="AD33" s="2">
        <f t="shared" ref="AD33" si="140">Z33-(I33-O33)</f>
        <v>0</v>
      </c>
      <c r="AE33" s="2"/>
      <c r="AG33">
        <f t="shared" ref="AG33" si="141">A33</f>
        <v>2016</v>
      </c>
      <c r="AH33" s="6">
        <f t="shared" ref="AH33" si="142">S33/$Z33</f>
        <v>0.21342840185842246</v>
      </c>
      <c r="AI33" s="6"/>
      <c r="AJ33" s="6">
        <f t="shared" ref="AJ33" si="143">U33/$Z33</f>
        <v>0.14977507332213785</v>
      </c>
      <c r="AK33" s="6">
        <f t="shared" ref="AK33" si="144">V33/$Z33</f>
        <v>9.7518122966033863E-2</v>
      </c>
      <c r="AL33" s="7"/>
      <c r="AM33" s="6">
        <f t="shared" ref="AM33" si="145">X33/$Z33</f>
        <v>0.13593942770166415</v>
      </c>
      <c r="AN33" s="6">
        <f t="shared" ref="AN33" si="146">Y33/$Z33</f>
        <v>0.40333897415174175</v>
      </c>
      <c r="AO33" s="20">
        <f t="shared" ref="AO33" si="147">SUM(AH33:AN33)</f>
        <v>1</v>
      </c>
      <c r="AP33" s="22"/>
      <c r="AQ33">
        <f t="shared" ref="AQ33" si="148">AG33</f>
        <v>2016</v>
      </c>
      <c r="AR33" s="1" t="b">
        <f t="shared" si="39"/>
        <v>1</v>
      </c>
      <c r="AS33" s="1"/>
      <c r="AT33" s="1" t="b">
        <f t="shared" si="40"/>
        <v>1</v>
      </c>
      <c r="AU33" s="1" t="b">
        <f t="shared" si="41"/>
        <v>1</v>
      </c>
      <c r="AV33" s="1"/>
      <c r="AW33" s="1" t="b">
        <f t="shared" si="42"/>
        <v>1</v>
      </c>
      <c r="AX33" s="1" t="b">
        <f t="shared" si="43"/>
        <v>1</v>
      </c>
      <c r="AY33" s="1" t="b">
        <f t="shared" ref="AY33" si="149">AND((Z33/$Z33)&gt;0.999,(Z33/$Z33)&lt;1.01)</f>
        <v>1</v>
      </c>
      <c r="BA33">
        <f t="shared" ref="BA33" si="150">AQ33</f>
        <v>2016</v>
      </c>
      <c r="BB33" s="2">
        <f t="shared" ref="BB33" si="151">S33</f>
        <v>24023.58912355631</v>
      </c>
      <c r="BC33" s="2"/>
      <c r="BD33" s="2">
        <f t="shared" ref="BD33" si="152">U33</f>
        <v>16858.744155468023</v>
      </c>
      <c r="BE33" s="2">
        <f t="shared" ref="BE33" si="153">V33</f>
        <v>10976.680225486059</v>
      </c>
      <c r="BF33" s="2"/>
      <c r="BG33" s="2">
        <f t="shared" ref="BG33" si="154">X33</f>
        <v>15301.398166128343</v>
      </c>
      <c r="BH33" s="2">
        <f t="shared" ref="BH33" si="155">Y33</f>
        <v>45400.001631300052</v>
      </c>
      <c r="BI33" s="2">
        <f t="shared" ref="BI33" si="156">Z33</f>
        <v>112560.41330193878</v>
      </c>
      <c r="BJ33" s="2">
        <f t="shared" ref="BJ33" si="157">SUM(BB33:BH33)-Z33</f>
        <v>0</v>
      </c>
      <c r="BK33" s="2"/>
    </row>
    <row r="34" spans="1:63" x14ac:dyDescent="0.2">
      <c r="A34">
        <f t="shared" si="9"/>
        <v>2017</v>
      </c>
      <c r="B34" s="2">
        <f t="shared" si="44"/>
        <v>29229.500886630962</v>
      </c>
      <c r="C34" s="2"/>
      <c r="D34" s="2">
        <f t="shared" ref="D34:E34" si="158">BD33*(1+(D14/100))</f>
        <v>20163.058009939756</v>
      </c>
      <c r="E34" s="2">
        <f t="shared" si="158"/>
        <v>12743.925741789315</v>
      </c>
      <c r="F34" s="2"/>
      <c r="G34" s="2">
        <f t="shared" ref="G34:H34" si="159">BG33*(1+(G14/100))</f>
        <v>19493.981263647511</v>
      </c>
      <c r="H34" s="2">
        <f t="shared" si="159"/>
        <v>46970.841687743035</v>
      </c>
      <c r="I34" s="2">
        <f t="shared" ref="I34:I35" si="160">SUM(B34:H34)</f>
        <v>128601.30758975056</v>
      </c>
      <c r="J34" s="2">
        <f t="shared" ref="J34:J35" si="161">I34-I33</f>
        <v>11136.032039731072</v>
      </c>
      <c r="K34" s="6">
        <f t="shared" ref="K34:K35" si="162">(J34/I33)</f>
        <v>9.4802757560374387E-2</v>
      </c>
      <c r="L34" s="7">
        <f t="shared" ref="L34:L35" si="163">K34+1</f>
        <v>1.0948027575603745</v>
      </c>
      <c r="N34">
        <f t="shared" ref="N34:N35" si="164">A34</f>
        <v>2017</v>
      </c>
      <c r="O34" s="2">
        <f t="shared" si="35"/>
        <v>5014.2406762129112</v>
      </c>
      <c r="P34" s="2"/>
      <c r="Q34" s="2"/>
      <c r="R34">
        <f t="shared" ref="R34:R35" si="165">A34</f>
        <v>2017</v>
      </c>
      <c r="S34" s="2">
        <f t="shared" ref="S34:S35" si="166">B34-($O34/5)</f>
        <v>28226.652751388381</v>
      </c>
      <c r="T34" s="2"/>
      <c r="U34" s="2">
        <f t="shared" ref="U34:U35" si="167">D34-($O34/5)</f>
        <v>19160.209874697175</v>
      </c>
      <c r="V34" s="2">
        <f t="shared" ref="V34:V35" si="168">E34-($O34/5)</f>
        <v>11741.077606546733</v>
      </c>
      <c r="W34" s="2"/>
      <c r="X34" s="2">
        <f t="shared" ref="X34:X35" si="169">G34-($O34/5)</f>
        <v>18491.13312840493</v>
      </c>
      <c r="Y34" s="2">
        <f t="shared" ref="Y34:Y35" si="170">H34-($O34/5)</f>
        <v>45967.993552500455</v>
      </c>
      <c r="Z34" s="2">
        <f t="shared" ref="Z34:Z35" si="171">SUM(S34:Y34)</f>
        <v>123587.06691353767</v>
      </c>
      <c r="AA34" s="2">
        <f t="shared" ref="AA34:AA35" si="172">Z34-Z33</f>
        <v>11026.653611598886</v>
      </c>
      <c r="AB34" s="6">
        <f t="shared" ref="AB34:AB35" si="173">(AA34/Z33)</f>
        <v>9.7962092427826566E-2</v>
      </c>
      <c r="AC34" s="7">
        <f t="shared" ref="AC34:AC35" si="174">AB34+1</f>
        <v>1.0979620924278266</v>
      </c>
      <c r="AD34" s="2">
        <f t="shared" ref="AD34:AD35" si="175">Z34-(I34-O34)</f>
        <v>0</v>
      </c>
      <c r="AE34" s="2"/>
      <c r="AG34">
        <f t="shared" ref="AG34:AG35" si="176">A34</f>
        <v>2017</v>
      </c>
      <c r="AH34" s="6">
        <f t="shared" ref="AH34:AH35" si="177">S34/$Z34</f>
        <v>0.22839487542119544</v>
      </c>
      <c r="AI34" s="6"/>
      <c r="AJ34" s="6">
        <f t="shared" ref="AJ34:AJ35" si="178">U34/$Z34</f>
        <v>0.15503410148977631</v>
      </c>
      <c r="AK34" s="6">
        <f t="shared" ref="AK34:AK35" si="179">V34/$Z34</f>
        <v>9.5002478008163013E-2</v>
      </c>
      <c r="AL34" s="7"/>
      <c r="AM34" s="6">
        <f t="shared" ref="AM34:AM35" si="180">X34/$Z34</f>
        <v>0.14962029272319774</v>
      </c>
      <c r="AN34" s="6">
        <f t="shared" ref="AN34:AN35" si="181">Y34/$Z34</f>
        <v>0.37194825235766754</v>
      </c>
      <c r="AO34" s="20">
        <f t="shared" ref="AO34:AO35" si="182">SUM(AH34:AN34)</f>
        <v>1</v>
      </c>
      <c r="AP34" s="22"/>
      <c r="AQ34">
        <f t="shared" ref="AQ34:AQ35" si="183">AG34</f>
        <v>2017</v>
      </c>
      <c r="AR34" s="1" t="b">
        <f t="shared" si="39"/>
        <v>1</v>
      </c>
      <c r="AS34" s="1"/>
      <c r="AT34" s="1" t="b">
        <f t="shared" si="40"/>
        <v>1</v>
      </c>
      <c r="AU34" s="1" t="b">
        <f t="shared" si="41"/>
        <v>1</v>
      </c>
      <c r="AV34" s="1"/>
      <c r="AW34" s="1" t="b">
        <f t="shared" si="42"/>
        <v>1</v>
      </c>
      <c r="AX34" s="1" t="b">
        <f t="shared" si="43"/>
        <v>1</v>
      </c>
      <c r="AY34" s="1" t="b">
        <f t="shared" ref="AY34:AY35" si="184">AND((Z34/$Z34)&gt;0.999,(Z34/$Z34)&lt;1.01)</f>
        <v>1</v>
      </c>
      <c r="BA34">
        <f t="shared" ref="BA34:BA35" si="185">AQ34</f>
        <v>2017</v>
      </c>
      <c r="BB34" s="2">
        <f t="shared" ref="BB34:BB35" si="186">S34</f>
        <v>28226.652751388381</v>
      </c>
      <c r="BC34" s="2"/>
      <c r="BD34" s="2">
        <f t="shared" ref="BD34:BD35" si="187">U34</f>
        <v>19160.209874697175</v>
      </c>
      <c r="BE34" s="2">
        <f t="shared" ref="BE34:BE35" si="188">V34</f>
        <v>11741.077606546733</v>
      </c>
      <c r="BF34" s="2"/>
      <c r="BG34" s="2">
        <f t="shared" ref="BG34:BG35" si="189">X34</f>
        <v>18491.13312840493</v>
      </c>
      <c r="BH34" s="2">
        <f t="shared" ref="BH34:BH35" si="190">Y34</f>
        <v>45967.993552500455</v>
      </c>
      <c r="BI34" s="2">
        <f t="shared" ref="BI34:BI35" si="191">Z34</f>
        <v>123587.06691353767</v>
      </c>
      <c r="BJ34" s="2">
        <f t="shared" ref="BJ34:BJ35" si="192">SUM(BB34:BH34)-Z34</f>
        <v>0</v>
      </c>
      <c r="BK34" s="2"/>
    </row>
    <row r="35" spans="1:63" x14ac:dyDescent="0.2">
      <c r="A35">
        <f t="shared" si="9"/>
        <v>2018</v>
      </c>
      <c r="B35" s="2">
        <f t="shared" si="44"/>
        <v>26956.453377575905</v>
      </c>
      <c r="C35" s="2"/>
      <c r="D35" s="2">
        <f t="shared" ref="D35:E35" si="193">BD34*(1+(D15/100))</f>
        <v>17378.310356350339</v>
      </c>
      <c r="E35" s="2">
        <f t="shared" si="193"/>
        <v>10637.41631153134</v>
      </c>
      <c r="F35" s="2"/>
      <c r="G35" s="2">
        <f t="shared" ref="G35:H35" si="194">BG34*(1+(G15/100))</f>
        <v>15809.918824786215</v>
      </c>
      <c r="H35" s="2">
        <f t="shared" si="194"/>
        <v>45922.025558947957</v>
      </c>
      <c r="I35" s="2">
        <f t="shared" si="160"/>
        <v>116704.12442919175</v>
      </c>
      <c r="J35" s="2">
        <f t="shared" si="161"/>
        <v>-11897.183160558809</v>
      </c>
      <c r="K35" s="6">
        <f t="shared" si="162"/>
        <v>-9.2512147687579233E-2</v>
      </c>
      <c r="L35" s="7">
        <f t="shared" si="163"/>
        <v>0.9074878523124208</v>
      </c>
      <c r="N35">
        <f t="shared" si="164"/>
        <v>2018</v>
      </c>
      <c r="O35" s="2">
        <f t="shared" si="35"/>
        <v>5124.9989904976583</v>
      </c>
      <c r="P35" s="2"/>
      <c r="Q35" s="2"/>
      <c r="R35">
        <f t="shared" si="165"/>
        <v>2018</v>
      </c>
      <c r="S35" s="2">
        <f t="shared" si="166"/>
        <v>25931.453579476372</v>
      </c>
      <c r="T35" s="2"/>
      <c r="U35" s="2">
        <f t="shared" si="167"/>
        <v>16353.310558250807</v>
      </c>
      <c r="V35" s="2">
        <f t="shared" si="168"/>
        <v>9612.4165134318082</v>
      </c>
      <c r="W35" s="2"/>
      <c r="X35" s="2">
        <f t="shared" si="169"/>
        <v>14784.919026686683</v>
      </c>
      <c r="Y35" s="2">
        <f t="shared" si="170"/>
        <v>44897.025760848424</v>
      </c>
      <c r="Z35" s="2">
        <f t="shared" si="171"/>
        <v>111579.1254386941</v>
      </c>
      <c r="AA35" s="2">
        <f t="shared" si="172"/>
        <v>-12007.941474843567</v>
      </c>
      <c r="AB35" s="6">
        <f t="shared" si="173"/>
        <v>-9.7161796737553471E-2</v>
      </c>
      <c r="AC35" s="7">
        <f t="shared" si="174"/>
        <v>0.90283820326244657</v>
      </c>
      <c r="AD35" s="2">
        <f t="shared" si="175"/>
        <v>0</v>
      </c>
      <c r="AE35" s="2"/>
      <c r="AG35">
        <f t="shared" si="176"/>
        <v>2018</v>
      </c>
      <c r="AH35" s="6">
        <f t="shared" si="177"/>
        <v>0.23240416590040508</v>
      </c>
      <c r="AI35" s="6"/>
      <c r="AJ35" s="6">
        <f t="shared" si="178"/>
        <v>0.14656245506455373</v>
      </c>
      <c r="AK35" s="6">
        <f t="shared" si="179"/>
        <v>8.6148878436166296E-2</v>
      </c>
      <c r="AL35" s="7"/>
      <c r="AM35" s="6">
        <f t="shared" si="180"/>
        <v>0.13250613829922955</v>
      </c>
      <c r="AN35" s="6">
        <f t="shared" si="181"/>
        <v>0.4023783622996453</v>
      </c>
      <c r="AO35" s="20">
        <f t="shared" si="182"/>
        <v>1</v>
      </c>
      <c r="AP35" s="22"/>
      <c r="AQ35">
        <f t="shared" si="183"/>
        <v>2018</v>
      </c>
      <c r="AR35" s="1" t="b">
        <f t="shared" si="39"/>
        <v>1</v>
      </c>
      <c r="AS35" s="1"/>
      <c r="AT35" s="1" t="b">
        <f t="shared" si="40"/>
        <v>1</v>
      </c>
      <c r="AU35" s="1" t="b">
        <f t="shared" si="41"/>
        <v>1</v>
      </c>
      <c r="AV35" s="1"/>
      <c r="AW35" s="1" t="b">
        <f t="shared" si="42"/>
        <v>1</v>
      </c>
      <c r="AX35" s="1" t="b">
        <f t="shared" si="43"/>
        <v>1</v>
      </c>
      <c r="AY35" s="1" t="b">
        <f t="shared" si="184"/>
        <v>1</v>
      </c>
      <c r="BA35">
        <f t="shared" si="185"/>
        <v>2018</v>
      </c>
      <c r="BB35" s="2">
        <f t="shared" si="186"/>
        <v>25931.453579476372</v>
      </c>
      <c r="BC35" s="2"/>
      <c r="BD35" s="2">
        <f t="shared" si="187"/>
        <v>16353.310558250807</v>
      </c>
      <c r="BE35" s="2">
        <f t="shared" si="188"/>
        <v>9612.4165134318082</v>
      </c>
      <c r="BF35" s="2"/>
      <c r="BG35" s="2">
        <f t="shared" si="189"/>
        <v>14784.919026686683</v>
      </c>
      <c r="BH35" s="2">
        <f t="shared" si="190"/>
        <v>44897.025760848424</v>
      </c>
      <c r="BI35" s="2">
        <f t="shared" si="191"/>
        <v>111579.1254386941</v>
      </c>
      <c r="BJ35" s="2">
        <f t="shared" si="192"/>
        <v>0</v>
      </c>
      <c r="BK35" s="2"/>
    </row>
    <row r="36" spans="1:63" x14ac:dyDescent="0.2">
      <c r="A36">
        <f t="shared" ref="A36:A37" si="195">A16</f>
        <v>2019</v>
      </c>
      <c r="B36" s="2">
        <f t="shared" ref="B36:B37" si="196">BB35*(1+(B16/100))</f>
        <v>34088.451617436462</v>
      </c>
      <c r="C36" s="2"/>
      <c r="D36" s="2">
        <f t="shared" ref="D36:D37" si="197">BD35*(1+(D16/100))</f>
        <v>21428.004477444963</v>
      </c>
      <c r="E36" s="2">
        <f t="shared" ref="E36:E37" si="198">BE35*(1+(E16/100))</f>
        <v>12243.084990328745</v>
      </c>
      <c r="F36" s="2"/>
      <c r="G36" s="2">
        <f t="shared" ref="G36:G37" si="199">BG35*(1+(G16/100))</f>
        <v>17964.859410946454</v>
      </c>
      <c r="H36" s="2">
        <f t="shared" ref="H36:H37" si="200">BH35*(1+(H16/100))</f>
        <v>48809.352585648754</v>
      </c>
      <c r="I36" s="2">
        <f t="shared" ref="I36:I37" si="201">SUM(B36:H36)</f>
        <v>134533.75308180536</v>
      </c>
      <c r="J36" s="2">
        <f t="shared" ref="J36:J37" si="202">I36-I35</f>
        <v>17829.62865261361</v>
      </c>
      <c r="K36" s="6">
        <f t="shared" ref="K36:K37" si="203">(J36/I35)</f>
        <v>0.15277633708165503</v>
      </c>
      <c r="L36" s="7">
        <f t="shared" ref="L36:L37" si="204">K36+1</f>
        <v>1.1527763370816551</v>
      </c>
      <c r="N36">
        <f t="shared" ref="N36:N37" si="205">A36</f>
        <v>2019</v>
      </c>
      <c r="O36" s="2">
        <f t="shared" ref="O36:O37" si="206">O35*(1+O16)</f>
        <v>5242.1717217769447</v>
      </c>
      <c r="P36" s="2"/>
      <c r="Q36" s="2"/>
      <c r="R36">
        <f t="shared" ref="R36:R37" si="207">A36</f>
        <v>2019</v>
      </c>
      <c r="S36" s="2">
        <f t="shared" ref="S36:S37" si="208">B36-($O36/5)</f>
        <v>33040.017273081074</v>
      </c>
      <c r="T36" s="2"/>
      <c r="U36" s="2">
        <f t="shared" ref="U36:U37" si="209">D36-($O36/5)</f>
        <v>20379.570133089575</v>
      </c>
      <c r="V36" s="2">
        <f t="shared" ref="V36:V37" si="210">E36-($O36/5)</f>
        <v>11194.650645973357</v>
      </c>
      <c r="W36" s="2"/>
      <c r="X36" s="2">
        <f t="shared" ref="X36:X37" si="211">G36-($O36/5)</f>
        <v>16916.425066591066</v>
      </c>
      <c r="Y36" s="2">
        <f t="shared" ref="Y36:Y37" si="212">H36-($O36/5)</f>
        <v>47760.918241293366</v>
      </c>
      <c r="Z36" s="2">
        <f t="shared" ref="Z36:Z37" si="213">SUM(S36:Y36)</f>
        <v>129291.58136002845</v>
      </c>
      <c r="AA36" s="2">
        <f t="shared" ref="AA36:AA37" si="214">Z36-Z35</f>
        <v>17712.455921334345</v>
      </c>
      <c r="AB36" s="6">
        <f t="shared" ref="AB36:AB37" si="215">(AA36/Z35)</f>
        <v>0.15874345538822363</v>
      </c>
      <c r="AC36" s="7">
        <f t="shared" ref="AC36:AC37" si="216">AB36+1</f>
        <v>1.1587434553882237</v>
      </c>
      <c r="AD36" s="2">
        <f t="shared" ref="AD36:AD37" si="217">Z36-(I36-O36)</f>
        <v>0</v>
      </c>
      <c r="AE36" s="2"/>
      <c r="AG36">
        <f t="shared" ref="AG36:AG37" si="218">A36</f>
        <v>2019</v>
      </c>
      <c r="AH36" s="6">
        <f t="shared" ref="AH36:AH37" si="219">S36/$Z36</f>
        <v>0.25554654777620089</v>
      </c>
      <c r="AI36" s="6"/>
      <c r="AJ36" s="6">
        <f t="shared" ref="AJ36:AJ37" si="220">U36/$Z36</f>
        <v>0.15762488105347042</v>
      </c>
      <c r="AK36" s="6">
        <f t="shared" ref="AK36:AK37" si="221">V36/$Z36</f>
        <v>8.6584528769900831E-2</v>
      </c>
      <c r="AL36" s="7"/>
      <c r="AM36" s="6">
        <f t="shared" ref="AM36:AM37" si="222">X36/$Z36</f>
        <v>0.13083933917928642</v>
      </c>
      <c r="AN36" s="6">
        <f t="shared" ref="AN36:AN37" si="223">Y36/$Z36</f>
        <v>0.36940470322114138</v>
      </c>
      <c r="AO36" s="20">
        <f t="shared" ref="AO36:AO37" si="224">SUM(AH36:AN36)</f>
        <v>1</v>
      </c>
      <c r="AP36" s="22"/>
      <c r="AQ36">
        <f t="shared" ref="AQ36:AQ37" si="225">AG36</f>
        <v>2019</v>
      </c>
      <c r="AR36" s="65" t="b">
        <f t="shared" si="39"/>
        <v>0</v>
      </c>
      <c r="AS36" s="1"/>
      <c r="AT36" s="1" t="b">
        <f t="shared" si="40"/>
        <v>1</v>
      </c>
      <c r="AU36" s="1" t="b">
        <f t="shared" si="41"/>
        <v>1</v>
      </c>
      <c r="AV36" s="1"/>
      <c r="AW36" s="1" t="b">
        <f t="shared" si="42"/>
        <v>1</v>
      </c>
      <c r="AX36" s="1" t="b">
        <f t="shared" si="43"/>
        <v>1</v>
      </c>
      <c r="AY36" s="1" t="b">
        <f t="shared" ref="AY36:AY37" si="226">AND((Z36/$Z36)&gt;0.999,(Z36/$Z36)&lt;1.01)</f>
        <v>1</v>
      </c>
      <c r="BA36">
        <f t="shared" ref="BA36:BA37" si="227">AQ36</f>
        <v>2019</v>
      </c>
      <c r="BB36" s="36">
        <f>BB$23*$Z36</f>
        <v>25858.31627200569</v>
      </c>
      <c r="BC36" s="2"/>
      <c r="BD36" s="36">
        <f>BD$23*$Z36</f>
        <v>19393.737204004265</v>
      </c>
      <c r="BE36" s="36">
        <f>BE$23*$Z36</f>
        <v>12929.158136002845</v>
      </c>
      <c r="BF36" s="2"/>
      <c r="BG36" s="36">
        <f>BG$23*$Z36</f>
        <v>19393.737204004265</v>
      </c>
      <c r="BH36" s="36">
        <f>BH$23*$Z36</f>
        <v>51716.63254401138</v>
      </c>
      <c r="BI36" s="2">
        <f t="shared" ref="BI36:BI37" si="228">Z36</f>
        <v>129291.58136002845</v>
      </c>
      <c r="BJ36" s="2">
        <f t="shared" ref="BJ36:BJ37" si="229">SUM(BB36:BH36)-Z36</f>
        <v>0</v>
      </c>
      <c r="BK36" s="2"/>
    </row>
    <row r="37" spans="1:63" x14ac:dyDescent="0.2">
      <c r="A37">
        <f t="shared" si="195"/>
        <v>2020</v>
      </c>
      <c r="B37" s="2">
        <f t="shared" si="196"/>
        <v>30608.488971173134</v>
      </c>
      <c r="C37" s="2"/>
      <c r="D37" s="2">
        <f t="shared" si="197"/>
        <v>22931.154870014641</v>
      </c>
      <c r="E37" s="2">
        <f t="shared" si="198"/>
        <v>15399.920255792989</v>
      </c>
      <c r="F37" s="2"/>
      <c r="G37" s="2">
        <f t="shared" si="199"/>
        <v>21581.350760615947</v>
      </c>
      <c r="H37" s="2">
        <f t="shared" si="200"/>
        <v>55709.156576409056</v>
      </c>
      <c r="I37" s="2">
        <f t="shared" si="201"/>
        <v>146230.07143400577</v>
      </c>
      <c r="J37" s="2">
        <f t="shared" si="202"/>
        <v>11696.318352200411</v>
      </c>
      <c r="K37" s="6">
        <f t="shared" si="203"/>
        <v>8.6939657032300888E-2</v>
      </c>
      <c r="L37" s="7">
        <f t="shared" si="204"/>
        <v>1.0869396570323009</v>
      </c>
      <c r="N37">
        <f t="shared" si="205"/>
        <v>2020</v>
      </c>
      <c r="O37" s="2">
        <f t="shared" si="206"/>
        <v>5242.1717217769447</v>
      </c>
      <c r="P37" s="2"/>
      <c r="Q37" s="2"/>
      <c r="R37">
        <f t="shared" si="207"/>
        <v>2020</v>
      </c>
      <c r="S37" s="2">
        <f t="shared" si="208"/>
        <v>29560.054626817746</v>
      </c>
      <c r="T37" s="2"/>
      <c r="U37" s="2">
        <f t="shared" si="209"/>
        <v>21882.720525659253</v>
      </c>
      <c r="V37" s="2">
        <f t="shared" si="210"/>
        <v>14351.485911437601</v>
      </c>
      <c r="W37" s="2"/>
      <c r="X37" s="2">
        <f t="shared" si="211"/>
        <v>20532.916416260559</v>
      </c>
      <c r="Y37" s="2">
        <f t="shared" si="212"/>
        <v>54660.722232053668</v>
      </c>
      <c r="Z37" s="2">
        <f t="shared" si="213"/>
        <v>140987.89971222883</v>
      </c>
      <c r="AA37" s="2">
        <f t="shared" si="214"/>
        <v>11696.318352200382</v>
      </c>
      <c r="AB37" s="6">
        <f t="shared" si="215"/>
        <v>9.0464655387194406E-2</v>
      </c>
      <c r="AC37" s="7">
        <f t="shared" si="216"/>
        <v>1.0904646553871944</v>
      </c>
      <c r="AD37" s="2">
        <f t="shared" si="217"/>
        <v>0</v>
      </c>
      <c r="AE37" s="2"/>
      <c r="AG37">
        <f t="shared" si="218"/>
        <v>2020</v>
      </c>
      <c r="AH37" s="6">
        <f t="shared" si="219"/>
        <v>0.20966377034591574</v>
      </c>
      <c r="AI37" s="6"/>
      <c r="AJ37" s="6">
        <f t="shared" si="220"/>
        <v>0.15520991922231761</v>
      </c>
      <c r="AK37" s="6">
        <f t="shared" si="221"/>
        <v>0.10179232360174524</v>
      </c>
      <c r="AL37" s="7"/>
      <c r="AM37" s="6">
        <f t="shared" si="222"/>
        <v>0.14563601882268198</v>
      </c>
      <c r="AN37" s="6">
        <f t="shared" si="223"/>
        <v>0.38769796800733941</v>
      </c>
      <c r="AO37" s="20">
        <f t="shared" si="224"/>
        <v>1</v>
      </c>
      <c r="AP37" s="22"/>
      <c r="AQ37">
        <f t="shared" si="225"/>
        <v>2020</v>
      </c>
      <c r="AR37" s="1" t="b">
        <f t="shared" si="39"/>
        <v>1</v>
      </c>
      <c r="AS37" s="1"/>
      <c r="AT37" s="1" t="b">
        <f t="shared" si="40"/>
        <v>1</v>
      </c>
      <c r="AU37" s="1" t="b">
        <f t="shared" si="41"/>
        <v>1</v>
      </c>
      <c r="AV37" s="1"/>
      <c r="AW37" s="1" t="b">
        <f t="shared" si="42"/>
        <v>1</v>
      </c>
      <c r="AX37" s="1" t="b">
        <f t="shared" si="43"/>
        <v>1</v>
      </c>
      <c r="AY37" s="1" t="b">
        <f t="shared" si="226"/>
        <v>1</v>
      </c>
      <c r="BA37">
        <f t="shared" si="227"/>
        <v>2020</v>
      </c>
      <c r="BB37" s="2">
        <f t="shared" ref="BB37" si="230">S37</f>
        <v>29560.054626817746</v>
      </c>
      <c r="BC37" s="2"/>
      <c r="BD37" s="2">
        <f t="shared" ref="BD37" si="231">U37</f>
        <v>21882.720525659253</v>
      </c>
      <c r="BE37" s="2">
        <f t="shared" ref="BE37" si="232">V37</f>
        <v>14351.485911437601</v>
      </c>
      <c r="BF37" s="2"/>
      <c r="BG37" s="2">
        <f t="shared" ref="BG37" si="233">X37</f>
        <v>20532.916416260559</v>
      </c>
      <c r="BH37" s="2">
        <f t="shared" ref="BH37" si="234">Y37</f>
        <v>54660.722232053668</v>
      </c>
      <c r="BI37" s="2">
        <f t="shared" si="228"/>
        <v>140987.89971222883</v>
      </c>
      <c r="BJ37" s="2">
        <f t="shared" si="229"/>
        <v>0</v>
      </c>
      <c r="BK37" s="2"/>
    </row>
    <row r="38" spans="1:63" x14ac:dyDescent="0.2">
      <c r="A38" s="9" t="s">
        <v>44</v>
      </c>
      <c r="B38" s="10">
        <f>BB37</f>
        <v>29560.054626817746</v>
      </c>
      <c r="C38" s="10"/>
      <c r="D38" s="10">
        <f>BD37</f>
        <v>21882.720525659253</v>
      </c>
      <c r="E38" s="10">
        <f>BE37</f>
        <v>14351.485911437601</v>
      </c>
      <c r="F38" s="10"/>
      <c r="G38" s="10">
        <f>BG37</f>
        <v>20532.916416260559</v>
      </c>
      <c r="H38" s="10">
        <f>BH37</f>
        <v>54660.722232053668</v>
      </c>
      <c r="I38" s="10">
        <f t="shared" si="7"/>
        <v>140987.89971222883</v>
      </c>
      <c r="J38" s="10"/>
      <c r="K38" s="10"/>
      <c r="N38" t="s">
        <v>75</v>
      </c>
      <c r="O38" s="2">
        <f>O37</f>
        <v>5242.1717217769447</v>
      </c>
      <c r="P38" s="2"/>
      <c r="R38" s="9" t="s">
        <v>44</v>
      </c>
      <c r="S38" s="10">
        <f>S37</f>
        <v>29560.054626817746</v>
      </c>
      <c r="T38" s="10"/>
      <c r="U38" s="10">
        <f>U37</f>
        <v>21882.720525659253</v>
      </c>
      <c r="V38" s="10">
        <f>V37</f>
        <v>14351.485911437601</v>
      </c>
      <c r="W38" s="10"/>
      <c r="X38" s="10">
        <f>X37</f>
        <v>20532.916416260559</v>
      </c>
      <c r="Y38" s="10">
        <f>Y37</f>
        <v>54660.722232053668</v>
      </c>
      <c r="Z38" s="10">
        <f>Z37</f>
        <v>140987.89971222883</v>
      </c>
      <c r="AA38" s="10"/>
      <c r="AB38" s="10"/>
      <c r="AD38" s="40"/>
      <c r="AE38" s="40"/>
      <c r="AK38" s="7"/>
    </row>
    <row r="39" spans="1:63" x14ac:dyDescent="0.2">
      <c r="A39" s="11" t="s">
        <v>88</v>
      </c>
      <c r="I39" s="6">
        <f>(Z38-Z23)/Z23</f>
        <v>0.40987899712228826</v>
      </c>
      <c r="K39" s="6"/>
      <c r="N39" t="s">
        <v>36</v>
      </c>
      <c r="O39" s="2">
        <f>SUM(O24:O37)</f>
        <v>66636.373625768567</v>
      </c>
      <c r="P39" s="2"/>
      <c r="AB39" s="6"/>
    </row>
    <row r="40" spans="1:63" x14ac:dyDescent="0.2">
      <c r="A40" s="1" t="s">
        <v>89</v>
      </c>
      <c r="I40" s="12">
        <f>STDEV(AC24:AC37)</f>
        <v>0.1136387718257006</v>
      </c>
    </row>
    <row r="41" spans="1:63" x14ac:dyDescent="0.2">
      <c r="A41" s="1" t="s">
        <v>90</v>
      </c>
      <c r="I41" s="13">
        <f>((1+I39)^(1/I48))-1</f>
        <v>2.4839476104496327E-2</v>
      </c>
    </row>
    <row r="42" spans="1:63" x14ac:dyDescent="0.2">
      <c r="A42" s="1" t="s">
        <v>48</v>
      </c>
      <c r="I42" s="27">
        <f>AA25</f>
        <v>-26552.679323540011</v>
      </c>
      <c r="O42" s="2"/>
      <c r="P42" s="2"/>
    </row>
    <row r="43" spans="1:63" x14ac:dyDescent="0.2">
      <c r="A43" s="1" t="s">
        <v>49</v>
      </c>
      <c r="I43" s="28">
        <f>AB25</f>
        <v>-0.25803017044501336</v>
      </c>
    </row>
    <row r="44" spans="1:63" x14ac:dyDescent="0.2">
      <c r="A44" s="1" t="s">
        <v>77</v>
      </c>
      <c r="I44" s="2">
        <f>O39</f>
        <v>66636.373625768567</v>
      </c>
    </row>
    <row r="45" spans="1:63" x14ac:dyDescent="0.2">
      <c r="A45" s="3" t="s">
        <v>50</v>
      </c>
      <c r="I45" s="29">
        <f>I38-Z37</f>
        <v>0</v>
      </c>
    </row>
    <row r="46" spans="1:63" x14ac:dyDescent="0.2">
      <c r="A46" s="3" t="s">
        <v>134</v>
      </c>
      <c r="I46" s="29">
        <f>((SUM(AA24:AA37)))-(I38-I23)</f>
        <v>0</v>
      </c>
    </row>
    <row r="47" spans="1:63" x14ac:dyDescent="0.2">
      <c r="A47" s="3" t="s">
        <v>135</v>
      </c>
      <c r="I47" s="29">
        <f>(SUM(O24:O37))-I44</f>
        <v>0</v>
      </c>
    </row>
    <row r="48" spans="1:63" x14ac:dyDescent="0.2">
      <c r="A48" s="3" t="s">
        <v>139</v>
      </c>
      <c r="I48" s="3">
        <f>COUNTA(I24:I37)</f>
        <v>14</v>
      </c>
    </row>
    <row r="50" spans="2:9" x14ac:dyDescent="0.2">
      <c r="B50" s="2"/>
      <c r="D50" s="2"/>
      <c r="E50" s="2"/>
      <c r="G50" s="2"/>
      <c r="H50" s="2"/>
      <c r="I50"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X48"/>
  <sheetViews>
    <sheetView topLeftCell="A15" zoomScaleNormal="100" workbookViewId="0">
      <selection activeCell="A36" sqref="A36:XFD37"/>
    </sheetView>
  </sheetViews>
  <sheetFormatPr baseColWidth="10" defaultColWidth="8.83203125" defaultRowHeight="15" x14ac:dyDescent="0.2"/>
  <cols>
    <col min="1" max="1" width="25.5" customWidth="1"/>
    <col min="9" max="9" width="11.6640625" customWidth="1"/>
    <col min="10" max="10" width="10" bestFit="1" customWidth="1"/>
    <col min="15" max="15" width="9.83203125" bestFit="1" customWidth="1"/>
    <col min="16" max="16" width="9.83203125" customWidth="1"/>
    <col min="19" max="19" width="10.83203125" bestFit="1" customWidth="1"/>
    <col min="21" max="21" width="11.83203125" bestFit="1" customWidth="1"/>
    <col min="25" max="26" width="10.83203125" bestFit="1" customWidth="1"/>
    <col min="27" max="31" width="10.83203125" customWidth="1"/>
    <col min="44" max="44" width="10.83203125" bestFit="1" customWidth="1"/>
    <col min="51" max="51" width="9.33203125" bestFit="1" customWidth="1"/>
  </cols>
  <sheetData>
    <row r="1" spans="1:16" x14ac:dyDescent="0.2">
      <c r="A1" s="18" t="s">
        <v>17</v>
      </c>
      <c r="N1" s="18" t="s">
        <v>131</v>
      </c>
    </row>
    <row r="2" spans="1:16" x14ac:dyDescent="0.2">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6"/>
      <c r="O2" s="47"/>
      <c r="P2" s="41"/>
    </row>
    <row r="3" spans="1:16" x14ac:dyDescent="0.2">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6"/>
      <c r="O3" s="47"/>
      <c r="P3" s="41"/>
    </row>
    <row r="4" spans="1:16" x14ac:dyDescent="0.2">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16" x14ac:dyDescent="0.2">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16" x14ac:dyDescent="0.2">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16" x14ac:dyDescent="0.2">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16" x14ac:dyDescent="0.2">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16" x14ac:dyDescent="0.2">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16" x14ac:dyDescent="0.2">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16" x14ac:dyDescent="0.2">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1.29E-2</v>
      </c>
      <c r="P11" s="41"/>
    </row>
    <row r="12" spans="1:16" x14ac:dyDescent="0.2">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 Withdrawals-No Rebalancing'!N12</f>
        <v>2015</v>
      </c>
      <c r="O12" s="47">
        <f>'4% Withdrawals-No Rebalancing'!O12</f>
        <v>4.4000000000000003E-3</v>
      </c>
      <c r="P12" s="41"/>
    </row>
    <row r="13" spans="1:16" x14ac:dyDescent="0.2">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 Withdrawals-No Rebalancing'!N13</f>
        <v>2016</v>
      </c>
      <c r="O13" s="47">
        <f>'4% Withdrawals-No Rebalancing'!O13</f>
        <v>1.7000000000000001E-2</v>
      </c>
      <c r="P13" s="41"/>
    </row>
    <row r="14" spans="1:16" x14ac:dyDescent="0.2">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 Withdrawals-No Rebalancing'!N14</f>
        <v>2017</v>
      </c>
      <c r="O14" s="47">
        <f>'4% Withdrawals-No Rebalancing'!O14</f>
        <v>2.23E-2</v>
      </c>
      <c r="P14" s="41"/>
    </row>
    <row r="15" spans="1:16" x14ac:dyDescent="0.2">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 Withdrawals-No Rebalancing'!N15</f>
        <v>2018</v>
      </c>
      <c r="O15" s="47">
        <f>'4% Withdrawals-No Rebalancing'!O15</f>
        <v>2.2088751106458498E-2</v>
      </c>
      <c r="P15" s="41"/>
    </row>
    <row r="16" spans="1:16" x14ac:dyDescent="0.2">
      <c r="A16" s="16">
        <f>'Non-Rebalanced Strategy'!A16</f>
        <v>2019</v>
      </c>
      <c r="B16" s="16">
        <f>'Non-Rebalanced Strategy'!B16</f>
        <v>31.456</v>
      </c>
      <c r="C16" s="16"/>
      <c r="D16" s="16">
        <f>'Non-Rebalanced Strategy'!D16</f>
        <v>31.031600000000001</v>
      </c>
      <c r="E16" s="16">
        <f>'Non-Rebalanced Strategy'!E16</f>
        <v>27.3674</v>
      </c>
      <c r="F16" s="16"/>
      <c r="G16" s="16">
        <f>'Non-Rebalanced Strategy'!G16</f>
        <v>21.507999999999999</v>
      </c>
      <c r="H16" s="16">
        <f>'Non-Rebalanced Strategy'!H16</f>
        <v>8.7140000000000004</v>
      </c>
      <c r="N16" s="46">
        <f>'4% Withdrawals-No Rebalancing'!N16</f>
        <v>2019</v>
      </c>
      <c r="O16" s="47">
        <f>'4% Withdrawals-No Rebalancing'!O16</f>
        <v>2.2862976460393248E-2</v>
      </c>
      <c r="P16" s="41"/>
    </row>
    <row r="17" spans="1:76" x14ac:dyDescent="0.2">
      <c r="A17" s="16">
        <f>'Non-Rebalanced Strategy'!A17</f>
        <v>2020</v>
      </c>
      <c r="B17" s="16">
        <f>'Non-Rebalanced Strategy'!B17</f>
        <v>18.37</v>
      </c>
      <c r="C17" s="16"/>
      <c r="D17" s="16">
        <f>'Non-Rebalanced Strategy'!D17</f>
        <v>18.239999999999998</v>
      </c>
      <c r="E17" s="16">
        <f>'Non-Rebalanced Strategy'!E17</f>
        <v>19.11</v>
      </c>
      <c r="F17" s="16"/>
      <c r="G17" s="16">
        <f>'Non-Rebalanced Strategy'!G17</f>
        <v>11.28</v>
      </c>
      <c r="H17" s="16">
        <f>'Non-Rebalanced Strategy'!H17</f>
        <v>7.72</v>
      </c>
      <c r="N17" s="46">
        <f>'4% Withdrawals-No Rebalancing'!N17</f>
        <v>0</v>
      </c>
      <c r="O17" s="47">
        <f>'4% Withdrawals-No Rebalancing'!O17</f>
        <v>0</v>
      </c>
      <c r="P17" s="41"/>
    </row>
    <row r="20" spans="1:76" x14ac:dyDescent="0.2">
      <c r="A20" s="18" t="s">
        <v>99</v>
      </c>
      <c r="N20" s="18" t="s">
        <v>64</v>
      </c>
      <c r="R20" s="18" t="s">
        <v>101</v>
      </c>
      <c r="AG20" s="18" t="s">
        <v>102</v>
      </c>
      <c r="AQ20" s="18" t="s">
        <v>86</v>
      </c>
      <c r="BB20" s="18"/>
    </row>
    <row r="21" spans="1:76" x14ac:dyDescent="0.2">
      <c r="B21" s="4" t="str">
        <f t="shared" ref="B21:H22" si="0">B2</f>
        <v>LC Stocks</v>
      </c>
      <c r="C21" s="4" t="str">
        <f t="shared" si="0"/>
        <v>Ext Mkt</v>
      </c>
      <c r="D21" s="4" t="str">
        <f t="shared" si="0"/>
        <v>Mcap Stk</v>
      </c>
      <c r="E21" s="4" t="str">
        <f t="shared" si="0"/>
        <v>Small Cap</v>
      </c>
      <c r="F21" s="4" t="str">
        <f t="shared" si="0"/>
        <v>Intl Val</v>
      </c>
      <c r="G21" s="4" t="str">
        <f t="shared" si="0"/>
        <v>Tot Int Stk</v>
      </c>
      <c r="H21" s="4" t="str">
        <f t="shared" si="0"/>
        <v>Bonds</v>
      </c>
      <c r="I21" s="5"/>
      <c r="J21" s="5" t="s">
        <v>42</v>
      </c>
      <c r="K21" s="5" t="s">
        <v>39</v>
      </c>
      <c r="L21" s="5" t="s">
        <v>40</v>
      </c>
      <c r="S21" s="4" t="str">
        <f t="shared" ref="S21:Z23" si="1">B21</f>
        <v>LC Stocks</v>
      </c>
      <c r="T21" s="4" t="str">
        <f t="shared" si="1"/>
        <v>Ext Mkt</v>
      </c>
      <c r="U21" s="4" t="str">
        <f t="shared" si="1"/>
        <v>Mcap Stk</v>
      </c>
      <c r="V21" s="4" t="str">
        <f t="shared" si="1"/>
        <v>Small Cap</v>
      </c>
      <c r="W21" s="4" t="str">
        <f t="shared" si="1"/>
        <v>Intl Val</v>
      </c>
      <c r="X21" s="4" t="str">
        <f t="shared" si="1"/>
        <v>Tot Int Stk</v>
      </c>
      <c r="Y21" s="4" t="str">
        <f t="shared" si="1"/>
        <v>Bonds</v>
      </c>
      <c r="Z21" s="5"/>
      <c r="AA21" s="5" t="s">
        <v>42</v>
      </c>
      <c r="AB21" s="5" t="s">
        <v>39</v>
      </c>
      <c r="AC21" s="5" t="s">
        <v>40</v>
      </c>
      <c r="AD21" s="5" t="s">
        <v>54</v>
      </c>
      <c r="AE21" s="5"/>
      <c r="AH21" s="4" t="str">
        <f t="shared" ref="AH21:AN22" si="2">B21</f>
        <v>LC Stocks</v>
      </c>
      <c r="AI21" s="4" t="str">
        <f t="shared" si="2"/>
        <v>Ext Mkt</v>
      </c>
      <c r="AJ21" s="4" t="str">
        <f t="shared" si="2"/>
        <v>Mcap Stk</v>
      </c>
      <c r="AK21" s="4" t="str">
        <f t="shared" si="2"/>
        <v>Small Cap</v>
      </c>
      <c r="AL21" s="4" t="str">
        <f t="shared" si="2"/>
        <v>Intl Val</v>
      </c>
      <c r="AM21" s="4" t="str">
        <f t="shared" si="2"/>
        <v>Tot Int Stk</v>
      </c>
      <c r="AN21" s="4" t="str">
        <f t="shared" si="2"/>
        <v>Bonds</v>
      </c>
      <c r="AO21" s="5"/>
      <c r="AR21" s="4" t="str">
        <f>AH21</f>
        <v>LC Stocks</v>
      </c>
      <c r="AS21" s="4" t="str">
        <f t="shared" ref="AS21:AY22" si="3">AI21</f>
        <v>Ext Mkt</v>
      </c>
      <c r="AT21" s="4" t="str">
        <f t="shared" si="3"/>
        <v>Mcap Stk</v>
      </c>
      <c r="AU21" s="4" t="str">
        <f t="shared" si="3"/>
        <v>Small Cap</v>
      </c>
      <c r="AV21" s="4" t="str">
        <f t="shared" si="3"/>
        <v>Intl Val</v>
      </c>
      <c r="AW21" s="4" t="str">
        <f t="shared" si="3"/>
        <v>Tot Int Stk</v>
      </c>
      <c r="AX21" s="4" t="str">
        <f t="shared" si="3"/>
        <v>Bonds</v>
      </c>
      <c r="AY21" s="4"/>
      <c r="AZ21" t="s">
        <v>54</v>
      </c>
    </row>
    <row r="22" spans="1:76" x14ac:dyDescent="0.2">
      <c r="A22" t="s">
        <v>38</v>
      </c>
      <c r="B22" s="4" t="str">
        <f t="shared" si="0"/>
        <v>VFINX</v>
      </c>
      <c r="C22" s="4" t="str">
        <f t="shared" si="0"/>
        <v>VEXMX</v>
      </c>
      <c r="D22" s="4" t="str">
        <f t="shared" si="0"/>
        <v>VIMSX</v>
      </c>
      <c r="E22" s="4" t="str">
        <f t="shared" si="0"/>
        <v>NAESX</v>
      </c>
      <c r="F22" s="4" t="str">
        <f t="shared" si="0"/>
        <v>VTRIX</v>
      </c>
      <c r="G22" s="4" t="str">
        <f t="shared" si="0"/>
        <v>VGTSX</v>
      </c>
      <c r="H22" s="4" t="str">
        <f t="shared" si="0"/>
        <v>VBMFX</v>
      </c>
      <c r="I22" s="5" t="s">
        <v>36</v>
      </c>
      <c r="J22" s="5" t="s">
        <v>43</v>
      </c>
      <c r="K22" s="5" t="s">
        <v>41</v>
      </c>
      <c r="L22" s="5" t="s">
        <v>41</v>
      </c>
      <c r="R22" t="str">
        <f>A22</f>
        <v>Fund</v>
      </c>
      <c r="S22" s="4" t="str">
        <f t="shared" si="1"/>
        <v>VFINX</v>
      </c>
      <c r="T22" s="4" t="str">
        <f t="shared" si="1"/>
        <v>VEXMX</v>
      </c>
      <c r="U22" s="4" t="str">
        <f t="shared" si="1"/>
        <v>VIMSX</v>
      </c>
      <c r="V22" s="4" t="str">
        <f t="shared" si="1"/>
        <v>NAESX</v>
      </c>
      <c r="W22" s="4" t="str">
        <f t="shared" si="1"/>
        <v>VTRIX</v>
      </c>
      <c r="X22" s="4" t="str">
        <f t="shared" si="1"/>
        <v>VGTSX</v>
      </c>
      <c r="Y22" s="4" t="str">
        <f t="shared" si="1"/>
        <v>VBMFX</v>
      </c>
      <c r="Z22" s="5" t="str">
        <f t="shared" si="1"/>
        <v>Total</v>
      </c>
      <c r="AA22" s="5" t="s">
        <v>43</v>
      </c>
      <c r="AB22" s="5" t="s">
        <v>41</v>
      </c>
      <c r="AC22" s="5" t="s">
        <v>41</v>
      </c>
      <c r="AD22" s="5" t="s">
        <v>53</v>
      </c>
      <c r="AE22" s="5"/>
      <c r="AG22" t="s">
        <v>38</v>
      </c>
      <c r="AH22" s="4" t="str">
        <f t="shared" si="2"/>
        <v>VFINX</v>
      </c>
      <c r="AI22" s="4" t="str">
        <f t="shared" si="2"/>
        <v>VEXMX</v>
      </c>
      <c r="AJ22" s="4" t="str">
        <f t="shared" si="2"/>
        <v>VIMSX</v>
      </c>
      <c r="AK22" s="4" t="str">
        <f t="shared" si="2"/>
        <v>NAESX</v>
      </c>
      <c r="AL22" s="4" t="str">
        <f t="shared" si="2"/>
        <v>VTRIX</v>
      </c>
      <c r="AM22" s="4" t="str">
        <f t="shared" si="2"/>
        <v>VGTSX</v>
      </c>
      <c r="AN22" s="4" t="str">
        <f t="shared" si="2"/>
        <v>VBMFX</v>
      </c>
      <c r="AO22" s="5" t="s">
        <v>36</v>
      </c>
      <c r="AQ22" t="s">
        <v>38</v>
      </c>
      <c r="AR22" s="4" t="str">
        <f>AH22</f>
        <v>VFINX</v>
      </c>
      <c r="AS22" s="4" t="str">
        <f t="shared" si="3"/>
        <v>VEXMX</v>
      </c>
      <c r="AT22" s="4" t="str">
        <f t="shared" si="3"/>
        <v>VIMSX</v>
      </c>
      <c r="AU22" s="4" t="str">
        <f t="shared" si="3"/>
        <v>NAESX</v>
      </c>
      <c r="AV22" s="4" t="str">
        <f t="shared" si="3"/>
        <v>VTRIX</v>
      </c>
      <c r="AW22" s="4" t="str">
        <f t="shared" si="3"/>
        <v>VGTSX</v>
      </c>
      <c r="AX22" s="4" t="str">
        <f t="shared" si="3"/>
        <v>VBMFX</v>
      </c>
      <c r="AY22" s="4" t="str">
        <f t="shared" si="3"/>
        <v>Total</v>
      </c>
      <c r="AZ22" t="s">
        <v>53</v>
      </c>
    </row>
    <row r="23" spans="1:76" x14ac:dyDescent="0.2">
      <c r="A23" t="s">
        <v>37</v>
      </c>
      <c r="B23" s="2">
        <f>'Non-Rebalanced Strategy'!B23</f>
        <v>20000</v>
      </c>
      <c r="C23" s="2"/>
      <c r="D23" s="2">
        <f>'Non-Rebalanced Strategy'!D23</f>
        <v>15000</v>
      </c>
      <c r="E23" s="2">
        <f>'Non-Rebalanced Strategy'!E23</f>
        <v>10000</v>
      </c>
      <c r="F23" s="2"/>
      <c r="G23" s="2">
        <f>'Non-Rebalanced Strategy'!G23</f>
        <v>15000</v>
      </c>
      <c r="H23" s="2">
        <f>'Non-Rebalanced Strategy'!H23</f>
        <v>40000</v>
      </c>
      <c r="I23" s="2">
        <f>SUM(B23:H23)</f>
        <v>100000</v>
      </c>
      <c r="N23" s="19"/>
      <c r="R23" t="str">
        <f>A23</f>
        <v>Stating Balance</v>
      </c>
      <c r="S23" s="2">
        <f>B23</f>
        <v>20000</v>
      </c>
      <c r="T23" s="2">
        <f t="shared" si="1"/>
        <v>0</v>
      </c>
      <c r="U23" s="2">
        <f t="shared" si="1"/>
        <v>15000</v>
      </c>
      <c r="V23" s="2">
        <f t="shared" si="1"/>
        <v>10000</v>
      </c>
      <c r="W23" s="2">
        <f t="shared" si="1"/>
        <v>0</v>
      </c>
      <c r="X23" s="2">
        <f t="shared" si="1"/>
        <v>15000</v>
      </c>
      <c r="Y23" s="2">
        <f t="shared" si="1"/>
        <v>40000</v>
      </c>
      <c r="Z23" s="2">
        <f t="shared" si="1"/>
        <v>100000</v>
      </c>
      <c r="AD23" s="2"/>
      <c r="AE23" s="2"/>
      <c r="AG23" s="19" t="s">
        <v>52</v>
      </c>
      <c r="AH23" s="6">
        <f t="shared" ref="AH23:AM28" si="4">S23/$Z23</f>
        <v>0.2</v>
      </c>
      <c r="AI23" s="6"/>
      <c r="AJ23" s="6">
        <f t="shared" si="4"/>
        <v>0.15</v>
      </c>
      <c r="AK23" s="6">
        <f t="shared" si="4"/>
        <v>0.1</v>
      </c>
      <c r="AL23" s="6"/>
      <c r="AM23" s="6">
        <f t="shared" si="4"/>
        <v>0.15</v>
      </c>
      <c r="AN23" s="6">
        <f>Y23/$Z23</f>
        <v>0.4</v>
      </c>
      <c r="AO23" s="55">
        <f>SUM(AH23:AN23)</f>
        <v>1</v>
      </c>
      <c r="AQ23" s="19" t="str">
        <f>AG23</f>
        <v>Target Allocation</v>
      </c>
      <c r="AR23" s="22">
        <f>AH23</f>
        <v>0.2</v>
      </c>
      <c r="AS23" s="22"/>
      <c r="AT23" s="22">
        <f>AJ23</f>
        <v>0.15</v>
      </c>
      <c r="AU23" s="22">
        <f>AK23</f>
        <v>0.1</v>
      </c>
      <c r="AV23" s="22"/>
      <c r="AW23" s="22">
        <f>AM23</f>
        <v>0.15</v>
      </c>
      <c r="AX23" s="22">
        <f>AN23</f>
        <v>0.4</v>
      </c>
      <c r="AY23" s="22">
        <f>SUM(AR23:AX23)</f>
        <v>1</v>
      </c>
      <c r="AZ23" s="2"/>
      <c r="BA23" s="2"/>
      <c r="BB23" s="19"/>
      <c r="BC23" s="22"/>
    </row>
    <row r="24" spans="1:76" x14ac:dyDescent="0.2">
      <c r="A24">
        <f t="shared" ref="A24:A35" si="5">A4</f>
        <v>2007</v>
      </c>
      <c r="B24" s="2">
        <f>B23*(1+(B4/100))</f>
        <v>21078</v>
      </c>
      <c r="C24" s="2"/>
      <c r="D24" s="2">
        <f>D23*(1+(D4/100))</f>
        <v>15903.150000000001</v>
      </c>
      <c r="E24" s="2">
        <f>E23*(1+(E4/100))</f>
        <v>10115.6</v>
      </c>
      <c r="F24" s="2"/>
      <c r="G24" s="2">
        <f>G23*(1+(G4/100))</f>
        <v>17328.3</v>
      </c>
      <c r="H24" s="2">
        <f>H23*(1+(H4/100))</f>
        <v>42768</v>
      </c>
      <c r="I24" s="2">
        <f>SUM(B24:H24)</f>
        <v>107193.05</v>
      </c>
      <c r="J24" s="2">
        <f>I24-I23</f>
        <v>7193.0500000000029</v>
      </c>
      <c r="K24" s="6">
        <f>(J24/I23)</f>
        <v>7.1930500000000022E-2</v>
      </c>
      <c r="L24" s="7">
        <f>K24+1</f>
        <v>1.0719305000000001</v>
      </c>
      <c r="N24">
        <f t="shared" ref="N24:N28" si="6">A24</f>
        <v>2007</v>
      </c>
      <c r="O24" s="2">
        <f>I24*0.04</f>
        <v>4287.7219999999998</v>
      </c>
      <c r="P24" s="2"/>
      <c r="Q24" s="2"/>
      <c r="R24">
        <f t="shared" ref="R24:R28" si="7">A24</f>
        <v>2007</v>
      </c>
      <c r="S24" s="2">
        <f t="shared" ref="S24:S28" si="8">B24-($O24/5)</f>
        <v>20220.455600000001</v>
      </c>
      <c r="T24" s="2"/>
      <c r="U24" s="2">
        <f t="shared" ref="U24:V28" si="9">D24-($O24/5)</f>
        <v>15045.605600000001</v>
      </c>
      <c r="V24" s="2">
        <f t="shared" si="9"/>
        <v>9258.0555999999997</v>
      </c>
      <c r="W24" s="2"/>
      <c r="X24" s="2">
        <f t="shared" ref="X24:Y28" si="10">G24-($O24/5)</f>
        <v>16470.7556</v>
      </c>
      <c r="Y24" s="2">
        <f t="shared" si="10"/>
        <v>41910.455600000001</v>
      </c>
      <c r="Z24" s="2">
        <f>SUM(S24:Y24)</f>
        <v>102905.32800000001</v>
      </c>
      <c r="AA24" s="2">
        <f>Z24-Z23</f>
        <v>2905.3280000000086</v>
      </c>
      <c r="AB24" s="6">
        <f>(AA24/Z23)</f>
        <v>2.9053280000000088E-2</v>
      </c>
      <c r="AC24" s="7">
        <f>AB24+1</f>
        <v>1.0290532800000001</v>
      </c>
      <c r="AD24" s="2">
        <f>Z24-(I24-O24)</f>
        <v>0</v>
      </c>
      <c r="AE24" s="2"/>
      <c r="AG24">
        <f t="shared" ref="AG24:AG28" si="11">A24</f>
        <v>2007</v>
      </c>
      <c r="AH24" s="6">
        <f t="shared" si="4"/>
        <v>0.19649571108699054</v>
      </c>
      <c r="AI24" s="6"/>
      <c r="AJ24" s="6">
        <f t="shared" si="4"/>
        <v>0.14620822743016765</v>
      </c>
      <c r="AK24" s="6">
        <f t="shared" si="4"/>
        <v>8.9966727475957312E-2</v>
      </c>
      <c r="AL24" s="6"/>
      <c r="AM24" s="6">
        <f t="shared" si="4"/>
        <v>0.16005736457105504</v>
      </c>
      <c r="AN24" s="6">
        <f t="shared" ref="AN24:AN28" si="12">Y24/$Z24</f>
        <v>0.40727196943582938</v>
      </c>
      <c r="AO24" s="55">
        <f t="shared" ref="AO24:AO28" si="13">SUM(AH24:AN24)</f>
        <v>1</v>
      </c>
      <c r="AQ24">
        <f>AG24</f>
        <v>2007</v>
      </c>
      <c r="AR24" s="2">
        <f t="shared" ref="AR24:AX24" si="14">S24</f>
        <v>20220.455600000001</v>
      </c>
      <c r="AS24" s="2"/>
      <c r="AT24" s="2">
        <f t="shared" si="14"/>
        <v>15045.605600000001</v>
      </c>
      <c r="AU24" s="2">
        <f t="shared" si="14"/>
        <v>9258.0555999999997</v>
      </c>
      <c r="AV24" s="2"/>
      <c r="AW24" s="2">
        <f t="shared" si="14"/>
        <v>16470.7556</v>
      </c>
      <c r="AX24" s="2">
        <f t="shared" si="14"/>
        <v>41910.455600000001</v>
      </c>
      <c r="AY24" s="2">
        <f t="shared" ref="AY24:AY28" si="15">Z24</f>
        <v>102905.32800000001</v>
      </c>
      <c r="AZ24" s="2">
        <f t="shared" ref="AZ24:AZ38" si="16">SUM(AR24:AX24)-Z24</f>
        <v>0</v>
      </c>
      <c r="BA24" s="2"/>
      <c r="BC24" s="22"/>
      <c r="BX24" s="2"/>
    </row>
    <row r="25" spans="1:76" x14ac:dyDescent="0.2">
      <c r="A25">
        <f t="shared" si="5"/>
        <v>2008</v>
      </c>
      <c r="B25" s="2">
        <f t="shared" ref="B25:B35" si="17">AR24*(1+(B5/100))</f>
        <v>12734.842936879999</v>
      </c>
      <c r="C25" s="2"/>
      <c r="D25" s="2">
        <f t="shared" ref="D25:E31" si="18">AT24*(1+(D5/100))</f>
        <v>8752.9315138560014</v>
      </c>
      <c r="E25" s="2">
        <f t="shared" si="18"/>
        <v>5918.6749450799998</v>
      </c>
      <c r="F25" s="2"/>
      <c r="G25" s="2">
        <f t="shared" ref="G25:H31" si="19">AW24*(1+(G5/100))</f>
        <v>9206.9876728439995</v>
      </c>
      <c r="H25" s="2">
        <f t="shared" si="19"/>
        <v>44026.933607799998</v>
      </c>
      <c r="I25" s="2">
        <f>SUM(B25:H25)</f>
        <v>80640.370676460007</v>
      </c>
      <c r="J25" s="2">
        <f t="shared" ref="J25:J28" si="20">I25-I24</f>
        <v>-26552.679323539996</v>
      </c>
      <c r="K25" s="6">
        <f t="shared" ref="K25:K28" si="21">(J25/I24)</f>
        <v>-0.24770896362721273</v>
      </c>
      <c r="L25" s="7">
        <f t="shared" ref="L25:L28" si="22">K25+1</f>
        <v>0.75229103637278727</v>
      </c>
      <c r="N25">
        <f t="shared" si="6"/>
        <v>2008</v>
      </c>
      <c r="O25" s="2">
        <f t="shared" ref="O25:O35" si="23">O24*(1+O5)</f>
        <v>4287.7219999999998</v>
      </c>
      <c r="P25" s="2"/>
      <c r="Q25" s="2"/>
      <c r="R25">
        <f t="shared" si="7"/>
        <v>2008</v>
      </c>
      <c r="S25" s="2">
        <f t="shared" si="8"/>
        <v>11877.298536879998</v>
      </c>
      <c r="T25" s="2"/>
      <c r="U25" s="2">
        <f t="shared" si="9"/>
        <v>7895.3871138560016</v>
      </c>
      <c r="V25" s="2">
        <f t="shared" si="9"/>
        <v>5061.13054508</v>
      </c>
      <c r="W25" s="2"/>
      <c r="X25" s="2">
        <f t="shared" si="10"/>
        <v>8349.4432728439988</v>
      </c>
      <c r="Y25" s="2">
        <f t="shared" si="10"/>
        <v>43169.389207799999</v>
      </c>
      <c r="Z25" s="2">
        <f>SUM(S25:Y25)</f>
        <v>76352.648676459998</v>
      </c>
      <c r="AA25" s="2">
        <f t="shared" ref="AA25:AA28" si="24">Z25-Z24</f>
        <v>-26552.679323540011</v>
      </c>
      <c r="AB25" s="6">
        <f t="shared" ref="AB25:AB28" si="25">(AA25/Z24)</f>
        <v>-0.25803017044501336</v>
      </c>
      <c r="AC25" s="7">
        <f t="shared" ref="AC25:AC28" si="26">AB25+1</f>
        <v>0.74196982955498658</v>
      </c>
      <c r="AD25" s="2">
        <f>Z25-(I25-O25)</f>
        <v>0</v>
      </c>
      <c r="AE25" s="2"/>
      <c r="AG25">
        <f t="shared" si="11"/>
        <v>2008</v>
      </c>
      <c r="AH25" s="6">
        <f t="shared" si="4"/>
        <v>0.15555843500871036</v>
      </c>
      <c r="AI25" s="6"/>
      <c r="AJ25" s="6">
        <f t="shared" si="4"/>
        <v>0.10340685294772491</v>
      </c>
      <c r="AK25" s="6">
        <f t="shared" si="4"/>
        <v>6.6286247207038657E-2</v>
      </c>
      <c r="AL25" s="6"/>
      <c r="AM25" s="6">
        <f t="shared" si="4"/>
        <v>0.10935368212600312</v>
      </c>
      <c r="AN25" s="6">
        <f t="shared" si="12"/>
        <v>0.56539478271052301</v>
      </c>
      <c r="AO25" s="55">
        <f t="shared" si="13"/>
        <v>1</v>
      </c>
      <c r="AQ25">
        <f t="shared" ref="AQ25:AQ28" si="27">AG25</f>
        <v>2008</v>
      </c>
      <c r="AR25" s="36">
        <v>0</v>
      </c>
      <c r="AS25" s="36"/>
      <c r="AT25" s="36">
        <v>0</v>
      </c>
      <c r="AU25" s="36">
        <v>0</v>
      </c>
      <c r="AV25" s="36"/>
      <c r="AW25" s="36">
        <v>0</v>
      </c>
      <c r="AX25" s="36">
        <f>Z25</f>
        <v>76352.648676459998</v>
      </c>
      <c r="AY25" s="2">
        <f t="shared" si="15"/>
        <v>76352.648676459998</v>
      </c>
      <c r="AZ25" s="2">
        <f t="shared" si="16"/>
        <v>0</v>
      </c>
      <c r="BA25" s="2"/>
      <c r="BC25" s="22"/>
      <c r="BX25" s="2"/>
    </row>
    <row r="26" spans="1:76" x14ac:dyDescent="0.2">
      <c r="A26">
        <f t="shared" si="5"/>
        <v>2009</v>
      </c>
      <c r="B26" s="2">
        <f t="shared" si="17"/>
        <v>0</v>
      </c>
      <c r="C26" s="2"/>
      <c r="D26" s="2">
        <f t="shared" si="18"/>
        <v>0</v>
      </c>
      <c r="E26" s="2">
        <f t="shared" si="18"/>
        <v>0</v>
      </c>
      <c r="F26" s="2"/>
      <c r="G26" s="2">
        <f t="shared" si="19"/>
        <v>0</v>
      </c>
      <c r="H26" s="2">
        <f t="shared" si="19"/>
        <v>80880.360742974066</v>
      </c>
      <c r="I26" s="2">
        <f t="shared" ref="I26:I28" si="28">SUM(B26:H26)</f>
        <v>80880.360742974066</v>
      </c>
      <c r="J26" s="2">
        <f t="shared" si="20"/>
        <v>239.99006651405944</v>
      </c>
      <c r="K26" s="6">
        <f t="shared" si="21"/>
        <v>2.9760536131081517E-3</v>
      </c>
      <c r="L26" s="7">
        <f t="shared" si="22"/>
        <v>1.002976053613108</v>
      </c>
      <c r="N26">
        <f t="shared" si="6"/>
        <v>2009</v>
      </c>
      <c r="O26" s="2">
        <f t="shared" si="23"/>
        <v>4407.7782159999997</v>
      </c>
      <c r="P26" s="2"/>
      <c r="Q26" s="2"/>
      <c r="R26">
        <f t="shared" si="7"/>
        <v>2009</v>
      </c>
      <c r="S26" s="2">
        <v>0</v>
      </c>
      <c r="T26" s="2"/>
      <c r="U26" s="2">
        <v>0</v>
      </c>
      <c r="V26" s="2">
        <v>0</v>
      </c>
      <c r="W26" s="2"/>
      <c r="X26" s="2">
        <v>0</v>
      </c>
      <c r="Y26" s="2">
        <f>H26-($O26)</f>
        <v>76472.58252697406</v>
      </c>
      <c r="Z26" s="2">
        <f t="shared" ref="Z26:Z28" si="29">SUM(S26:Y26)</f>
        <v>76472.58252697406</v>
      </c>
      <c r="AA26" s="2">
        <f t="shared" si="24"/>
        <v>119.93385051406221</v>
      </c>
      <c r="AB26" s="6">
        <f t="shared" si="25"/>
        <v>1.5707883432083028E-3</v>
      </c>
      <c r="AC26" s="7">
        <f t="shared" si="26"/>
        <v>1.0015707883432083</v>
      </c>
      <c r="AD26" s="2">
        <f t="shared" ref="AD26:AD28" si="30">Z26-(I26-O26)</f>
        <v>0</v>
      </c>
      <c r="AE26" s="2"/>
      <c r="AG26">
        <f t="shared" si="11"/>
        <v>2009</v>
      </c>
      <c r="AH26" s="6">
        <f t="shared" si="4"/>
        <v>0</v>
      </c>
      <c r="AI26" s="6"/>
      <c r="AJ26" s="6">
        <f t="shared" si="4"/>
        <v>0</v>
      </c>
      <c r="AK26" s="6">
        <f t="shared" si="4"/>
        <v>0</v>
      </c>
      <c r="AL26" s="6"/>
      <c r="AM26" s="6">
        <f t="shared" si="4"/>
        <v>0</v>
      </c>
      <c r="AN26" s="6">
        <f t="shared" si="12"/>
        <v>1</v>
      </c>
      <c r="AO26" s="55">
        <f t="shared" si="13"/>
        <v>1</v>
      </c>
      <c r="AQ26">
        <f t="shared" si="27"/>
        <v>2009</v>
      </c>
      <c r="AR26" s="24">
        <f>$Z26*AR$23</f>
        <v>15294.516505394813</v>
      </c>
      <c r="AS26" s="24"/>
      <c r="AT26" s="24">
        <f>$Z26*AT$23</f>
        <v>11470.887379046109</v>
      </c>
      <c r="AU26" s="24">
        <f>$Z26*AU$23</f>
        <v>7647.2582526974065</v>
      </c>
      <c r="AV26" s="24"/>
      <c r="AW26" s="24">
        <f>$Z26*AW$23</f>
        <v>11470.887379046109</v>
      </c>
      <c r="AX26" s="24">
        <f>$Z26*AX$23</f>
        <v>30589.033010789626</v>
      </c>
      <c r="AY26" s="2">
        <f t="shared" si="15"/>
        <v>76472.58252697406</v>
      </c>
      <c r="AZ26" s="2">
        <f t="shared" si="16"/>
        <v>0</v>
      </c>
      <c r="BA26" s="2"/>
      <c r="BC26" s="22"/>
      <c r="BX26" s="2"/>
    </row>
    <row r="27" spans="1:76" x14ac:dyDescent="0.2">
      <c r="A27">
        <f t="shared" si="5"/>
        <v>2010</v>
      </c>
      <c r="B27" s="2">
        <f t="shared" si="17"/>
        <v>17574.928916349181</v>
      </c>
      <c r="C27" s="2"/>
      <c r="D27" s="2">
        <f t="shared" si="18"/>
        <v>14391.375305751248</v>
      </c>
      <c r="E27" s="2">
        <f t="shared" si="18"/>
        <v>9767.0782403451285</v>
      </c>
      <c r="F27" s="2"/>
      <c r="G27" s="2">
        <f t="shared" si="19"/>
        <v>12746.450055596037</v>
      </c>
      <c r="H27" s="2">
        <f t="shared" si="19"/>
        <v>32552.84893008232</v>
      </c>
      <c r="I27" s="2">
        <f t="shared" si="28"/>
        <v>87032.681448123913</v>
      </c>
      <c r="J27" s="2">
        <f t="shared" si="20"/>
        <v>6152.3207051498466</v>
      </c>
      <c r="K27" s="6">
        <f t="shared" si="21"/>
        <v>7.6066929581348183E-2</v>
      </c>
      <c r="L27" s="7">
        <f t="shared" si="22"/>
        <v>1.0760669295813481</v>
      </c>
      <c r="N27">
        <f t="shared" si="6"/>
        <v>2010</v>
      </c>
      <c r="O27" s="2">
        <f t="shared" si="23"/>
        <v>4469.4871110240001</v>
      </c>
      <c r="P27" s="2"/>
      <c r="Q27" s="2"/>
      <c r="R27">
        <f t="shared" si="7"/>
        <v>2010</v>
      </c>
      <c r="S27" s="2">
        <f t="shared" si="8"/>
        <v>16681.031494144379</v>
      </c>
      <c r="T27" s="2"/>
      <c r="U27" s="2">
        <f t="shared" si="9"/>
        <v>13497.477883546448</v>
      </c>
      <c r="V27" s="2">
        <f t="shared" si="9"/>
        <v>8873.1808181403285</v>
      </c>
      <c r="W27" s="2"/>
      <c r="X27" s="2">
        <f t="shared" si="10"/>
        <v>11852.552633391237</v>
      </c>
      <c r="Y27" s="2">
        <f t="shared" si="10"/>
        <v>31658.951507877522</v>
      </c>
      <c r="Z27" s="2">
        <f t="shared" si="29"/>
        <v>82563.194337099907</v>
      </c>
      <c r="AA27" s="2">
        <f t="shared" si="24"/>
        <v>6090.6118101258471</v>
      </c>
      <c r="AB27" s="6">
        <f t="shared" si="25"/>
        <v>7.9644385070656076E-2</v>
      </c>
      <c r="AC27" s="7">
        <f t="shared" si="26"/>
        <v>1.0796443850706561</v>
      </c>
      <c r="AD27" s="2">
        <f t="shared" si="30"/>
        <v>0</v>
      </c>
      <c r="AE27" s="2"/>
      <c r="AG27">
        <f t="shared" si="11"/>
        <v>2010</v>
      </c>
      <c r="AH27" s="6">
        <f t="shared" si="4"/>
        <v>0.20203956046124938</v>
      </c>
      <c r="AI27" s="57"/>
      <c r="AJ27" s="6">
        <f t="shared" si="4"/>
        <v>0.16348056772654851</v>
      </c>
      <c r="AK27" s="6">
        <f t="shared" si="4"/>
        <v>0.10747138466944163</v>
      </c>
      <c r="AL27" s="6"/>
      <c r="AM27" s="6">
        <f t="shared" si="4"/>
        <v>0.14355734087755945</v>
      </c>
      <c r="AN27" s="6">
        <f t="shared" si="12"/>
        <v>0.3834511462652011</v>
      </c>
      <c r="AO27" s="55">
        <f t="shared" si="13"/>
        <v>1</v>
      </c>
      <c r="AQ27">
        <f t="shared" si="27"/>
        <v>2010</v>
      </c>
      <c r="AR27" s="2">
        <f t="shared" ref="AR27" si="31">S27</f>
        <v>16681.031494144379</v>
      </c>
      <c r="AS27" s="2"/>
      <c r="AT27" s="2">
        <f t="shared" ref="AT27" si="32">U27</f>
        <v>13497.477883546448</v>
      </c>
      <c r="AU27" s="2">
        <f t="shared" ref="AU27" si="33">V27</f>
        <v>8873.1808181403285</v>
      </c>
      <c r="AV27" s="2"/>
      <c r="AW27" s="2">
        <f t="shared" ref="AW27" si="34">X27</f>
        <v>11852.552633391237</v>
      </c>
      <c r="AX27" s="2">
        <f t="shared" ref="AX27" si="35">Y27</f>
        <v>31658.951507877522</v>
      </c>
      <c r="AY27" s="2">
        <f t="shared" si="15"/>
        <v>82563.194337099907</v>
      </c>
      <c r="AZ27" s="2">
        <f t="shared" si="16"/>
        <v>0</v>
      </c>
      <c r="BA27" s="2"/>
      <c r="BC27" s="22"/>
      <c r="BX27" s="2"/>
    </row>
    <row r="28" spans="1:76" x14ac:dyDescent="0.2">
      <c r="A28">
        <f t="shared" si="5"/>
        <v>2011</v>
      </c>
      <c r="B28" s="2">
        <f t="shared" si="17"/>
        <v>17009.647814579024</v>
      </c>
      <c r="C28" s="2"/>
      <c r="D28" s="2">
        <f t="shared" si="18"/>
        <v>13212.681100203617</v>
      </c>
      <c r="E28" s="2">
        <f t="shared" si="18"/>
        <v>8624.7317552323984</v>
      </c>
      <c r="F28" s="2"/>
      <c r="G28" s="2">
        <f t="shared" si="19"/>
        <v>10126.820969969473</v>
      </c>
      <c r="H28" s="2">
        <f t="shared" si="19"/>
        <v>34052.368241873068</v>
      </c>
      <c r="I28" s="2">
        <f t="shared" si="28"/>
        <v>83026.24988185757</v>
      </c>
      <c r="J28" s="2">
        <f t="shared" si="20"/>
        <v>-4006.431566266343</v>
      </c>
      <c r="K28" s="6">
        <f t="shared" si="21"/>
        <v>-4.6033645058430016E-2</v>
      </c>
      <c r="L28" s="7">
        <f t="shared" si="22"/>
        <v>0.95396635494157001</v>
      </c>
      <c r="N28">
        <f t="shared" si="6"/>
        <v>2011</v>
      </c>
      <c r="O28" s="2">
        <f t="shared" si="23"/>
        <v>4603.5717243547206</v>
      </c>
      <c r="P28" s="2"/>
      <c r="Q28" s="2"/>
      <c r="R28">
        <f t="shared" si="7"/>
        <v>2011</v>
      </c>
      <c r="S28" s="2">
        <f t="shared" si="8"/>
        <v>16088.933469708079</v>
      </c>
      <c r="T28" s="2"/>
      <c r="U28" s="2">
        <f t="shared" si="9"/>
        <v>12291.966755332673</v>
      </c>
      <c r="V28" s="2">
        <f t="shared" si="9"/>
        <v>7704.0174103614545</v>
      </c>
      <c r="W28" s="2"/>
      <c r="X28" s="2">
        <f t="shared" si="10"/>
        <v>9206.1066250985277</v>
      </c>
      <c r="Y28" s="2">
        <f t="shared" si="10"/>
        <v>33131.653897002121</v>
      </c>
      <c r="Z28" s="2">
        <f t="shared" si="29"/>
        <v>78422.678157502858</v>
      </c>
      <c r="AA28" s="2">
        <f t="shared" si="24"/>
        <v>-4140.5161795970489</v>
      </c>
      <c r="AB28" s="6">
        <f t="shared" si="25"/>
        <v>-5.0149660667095836E-2</v>
      </c>
      <c r="AC28" s="7">
        <f t="shared" si="26"/>
        <v>0.94985033933290419</v>
      </c>
      <c r="AD28" s="2">
        <f t="shared" si="30"/>
        <v>0</v>
      </c>
      <c r="AE28" s="2"/>
      <c r="AG28">
        <f t="shared" si="11"/>
        <v>2011</v>
      </c>
      <c r="AH28" s="6">
        <f t="shared" si="4"/>
        <v>0.20515664406914697</v>
      </c>
      <c r="AI28" s="57"/>
      <c r="AJ28" s="6">
        <f t="shared" si="4"/>
        <v>0.15673995130140395</v>
      </c>
      <c r="AK28" s="6">
        <f t="shared" si="4"/>
        <v>9.8237111908991787E-2</v>
      </c>
      <c r="AL28" s="57"/>
      <c r="AM28" s="6">
        <f t="shared" si="4"/>
        <v>0.11739087265815036</v>
      </c>
      <c r="AN28" s="6">
        <f t="shared" si="12"/>
        <v>0.42247542006230693</v>
      </c>
      <c r="AO28" s="55">
        <f t="shared" si="13"/>
        <v>1</v>
      </c>
      <c r="AQ28">
        <f t="shared" si="27"/>
        <v>2011</v>
      </c>
      <c r="AR28" s="2">
        <f t="shared" ref="AR28" si="36">S28</f>
        <v>16088.933469708079</v>
      </c>
      <c r="AS28" s="2"/>
      <c r="AT28" s="2">
        <f t="shared" ref="AT28" si="37">U28</f>
        <v>12291.966755332673</v>
      </c>
      <c r="AU28" s="2">
        <f t="shared" ref="AU28" si="38">V28</f>
        <v>7704.0174103614545</v>
      </c>
      <c r="AV28" s="2"/>
      <c r="AW28" s="2">
        <f t="shared" ref="AW28" si="39">X28</f>
        <v>9206.1066250985277</v>
      </c>
      <c r="AX28" s="2">
        <f t="shared" ref="AX28" si="40">Y28</f>
        <v>33131.653897002121</v>
      </c>
      <c r="AY28" s="2">
        <f t="shared" si="15"/>
        <v>78422.678157502858</v>
      </c>
      <c r="AZ28" s="2">
        <f t="shared" si="16"/>
        <v>0</v>
      </c>
      <c r="BA28" s="2"/>
      <c r="BC28" s="22"/>
      <c r="BX28" s="2"/>
    </row>
    <row r="29" spans="1:76" x14ac:dyDescent="0.2">
      <c r="A29">
        <f t="shared" si="5"/>
        <v>2012</v>
      </c>
      <c r="B29" s="2">
        <f t="shared" si="17"/>
        <v>18634.202744615897</v>
      </c>
      <c r="C29" s="2"/>
      <c r="D29" s="2">
        <f t="shared" si="18"/>
        <v>14234.097502675233</v>
      </c>
      <c r="E29" s="2">
        <f t="shared" si="18"/>
        <v>9093.8221511906613</v>
      </c>
      <c r="F29" s="2"/>
      <c r="G29" s="2">
        <f t="shared" si="19"/>
        <v>10876.094366891401</v>
      </c>
      <c r="H29" s="2">
        <f t="shared" si="19"/>
        <v>34473.485879830703</v>
      </c>
      <c r="I29" s="2">
        <f t="shared" ref="I29:I31" si="41">SUM(B29:H29)</f>
        <v>87311.702645203884</v>
      </c>
      <c r="J29" s="2">
        <f t="shared" ref="J29:J31" si="42">I29-I28</f>
        <v>4285.4527633463149</v>
      </c>
      <c r="K29" s="6">
        <f t="shared" ref="K29:K31" si="43">(J29/I28)</f>
        <v>5.1615636855142942E-2</v>
      </c>
      <c r="L29" s="7">
        <f t="shared" ref="L29:L31" si="44">K29+1</f>
        <v>1.051615636855143</v>
      </c>
      <c r="N29">
        <f t="shared" ref="N29:N31" si="45">A29</f>
        <v>2012</v>
      </c>
      <c r="O29" s="2">
        <f t="shared" si="23"/>
        <v>4686.4360153931057</v>
      </c>
      <c r="P29" s="2"/>
      <c r="Q29" s="2"/>
      <c r="R29">
        <f t="shared" ref="R29:R31" si="46">A29</f>
        <v>2012</v>
      </c>
      <c r="S29" s="2">
        <f t="shared" ref="S29:S31" si="47">B29-($O29/5)</f>
        <v>17696.915541537277</v>
      </c>
      <c r="T29" s="2"/>
      <c r="U29" s="2">
        <f t="shared" ref="U29:U31" si="48">D29-($O29/5)</f>
        <v>13296.810299596611</v>
      </c>
      <c r="V29" s="2">
        <f t="shared" ref="V29:V31" si="49">E29-($O29/5)</f>
        <v>8156.5349481120402</v>
      </c>
      <c r="W29" s="2"/>
      <c r="X29" s="2">
        <f t="shared" ref="X29:X31" si="50">G29-($O29/5)</f>
        <v>9938.8071638127803</v>
      </c>
      <c r="Y29" s="2">
        <f t="shared" ref="Y29:Y31" si="51">H29-($O29/5)</f>
        <v>33536.198676752079</v>
      </c>
      <c r="Z29" s="2">
        <f t="shared" ref="Z29:Z31" si="52">SUM(S29:Y29)</f>
        <v>82625.266629810794</v>
      </c>
      <c r="AA29" s="2">
        <f t="shared" ref="AA29:AA31" si="53">Z29-Z28</f>
        <v>4202.5884723079362</v>
      </c>
      <c r="AB29" s="6">
        <f t="shared" ref="AB29:AB31" si="54">(AA29/Z28)</f>
        <v>5.3588943543441916E-2</v>
      </c>
      <c r="AC29" s="7">
        <f t="shared" ref="AC29:AC31" si="55">AB29+1</f>
        <v>1.053588943543442</v>
      </c>
      <c r="AD29" s="2">
        <f t="shared" ref="AD29:AD31" si="56">Z29-(I29-O29)</f>
        <v>0</v>
      </c>
      <c r="AE29" s="2"/>
      <c r="AG29">
        <f t="shared" ref="AG29:AG31" si="57">A29</f>
        <v>2012</v>
      </c>
      <c r="AH29" s="6">
        <f t="shared" ref="AH29:AH31" si="58">S29/$Z29</f>
        <v>0.21418285547961324</v>
      </c>
      <c r="AI29" s="57"/>
      <c r="AJ29" s="6">
        <f t="shared" ref="AJ29:AJ31" si="59">U29/$Z29</f>
        <v>0.16092910609500152</v>
      </c>
      <c r="AK29" s="6">
        <f t="shared" ref="AK29:AK31" si="60">V29/$Z29</f>
        <v>9.8717199723615798E-2</v>
      </c>
      <c r="AL29" s="57"/>
      <c r="AM29" s="6">
        <f t="shared" ref="AM29:AM31" si="61">X29/$Z29</f>
        <v>0.12028774694721417</v>
      </c>
      <c r="AN29" s="6">
        <f t="shared" ref="AN29:AN31" si="62">Y29/$Z29</f>
        <v>0.40588309175455517</v>
      </c>
      <c r="AO29" s="55">
        <f t="shared" ref="AO29:AO31" si="63">SUM(AH29:AN29)</f>
        <v>0.99999999999999989</v>
      </c>
      <c r="AQ29">
        <f t="shared" ref="AQ29:AQ31" si="64">AG29</f>
        <v>2012</v>
      </c>
      <c r="AR29" s="2">
        <f t="shared" ref="AR29:AR31" si="65">S29</f>
        <v>17696.915541537277</v>
      </c>
      <c r="AS29" s="2"/>
      <c r="AT29" s="2">
        <f t="shared" ref="AT29:AT31" si="66">U29</f>
        <v>13296.810299596611</v>
      </c>
      <c r="AU29" s="2">
        <f t="shared" ref="AU29:AU31" si="67">V29</f>
        <v>8156.5349481120402</v>
      </c>
      <c r="AV29" s="2"/>
      <c r="AW29" s="2">
        <f t="shared" ref="AW29:AW31" si="68">X29</f>
        <v>9938.8071638127803</v>
      </c>
      <c r="AX29" s="2">
        <f t="shared" ref="AX29:AX31" si="69">Y29</f>
        <v>33536.198676752079</v>
      </c>
      <c r="AY29" s="2">
        <f t="shared" ref="AY29:AY31" si="70">Z29</f>
        <v>82625.266629810794</v>
      </c>
      <c r="AZ29" s="2">
        <f t="shared" ref="AZ29:AZ31" si="71">SUM(AR29:AX29)-Z29</f>
        <v>0</v>
      </c>
      <c r="BA29" s="2"/>
      <c r="BC29" s="22"/>
      <c r="BX29" s="2"/>
    </row>
    <row r="30" spans="1:76" x14ac:dyDescent="0.2">
      <c r="A30">
        <f t="shared" si="5"/>
        <v>2013</v>
      </c>
      <c r="B30" s="2">
        <f t="shared" si="17"/>
        <v>23391.782962803973</v>
      </c>
      <c r="C30" s="2"/>
      <c r="D30" s="2">
        <f t="shared" si="18"/>
        <v>17950.693904455427</v>
      </c>
      <c r="E30" s="2">
        <f t="shared" si="18"/>
        <v>11225.023395591788</v>
      </c>
      <c r="F30" s="2"/>
      <c r="G30" s="2">
        <f t="shared" si="19"/>
        <v>11433.60376125022</v>
      </c>
      <c r="H30" s="2">
        <f t="shared" si="19"/>
        <v>32778.280586657485</v>
      </c>
      <c r="I30" s="2">
        <f t="shared" si="41"/>
        <v>96779.384610758891</v>
      </c>
      <c r="J30" s="2">
        <f t="shared" si="42"/>
        <v>9467.6819655550062</v>
      </c>
      <c r="K30" s="6">
        <f t="shared" si="43"/>
        <v>0.10843542937225123</v>
      </c>
      <c r="L30" s="7">
        <f t="shared" si="44"/>
        <v>1.1084354293722511</v>
      </c>
      <c r="N30">
        <f t="shared" si="45"/>
        <v>2013</v>
      </c>
      <c r="O30" s="2">
        <f t="shared" si="23"/>
        <v>4740.5920812636277</v>
      </c>
      <c r="P30" s="2"/>
      <c r="Q30" s="2"/>
      <c r="R30">
        <f t="shared" si="46"/>
        <v>2013</v>
      </c>
      <c r="S30" s="2">
        <f t="shared" si="47"/>
        <v>22443.664546551248</v>
      </c>
      <c r="T30" s="2"/>
      <c r="U30" s="2">
        <f t="shared" si="48"/>
        <v>17002.575488202703</v>
      </c>
      <c r="V30" s="2">
        <f t="shared" si="49"/>
        <v>10276.904979339062</v>
      </c>
      <c r="W30" s="2"/>
      <c r="X30" s="2">
        <f t="shared" si="50"/>
        <v>10485.485344997494</v>
      </c>
      <c r="Y30" s="2">
        <f t="shared" si="51"/>
        <v>31830.162170404761</v>
      </c>
      <c r="Z30" s="2">
        <f t="shared" si="52"/>
        <v>92038.792529495258</v>
      </c>
      <c r="AA30" s="2">
        <f t="shared" si="53"/>
        <v>9413.5258996844641</v>
      </c>
      <c r="AB30" s="6">
        <f t="shared" si="54"/>
        <v>0.11393035428085517</v>
      </c>
      <c r="AC30" s="7">
        <f t="shared" si="55"/>
        <v>1.1139303542808552</v>
      </c>
      <c r="AD30" s="2">
        <f t="shared" si="56"/>
        <v>0</v>
      </c>
      <c r="AE30" s="2"/>
      <c r="AG30">
        <f t="shared" si="57"/>
        <v>2013</v>
      </c>
      <c r="AH30" s="6">
        <f t="shared" si="58"/>
        <v>0.24385005419708031</v>
      </c>
      <c r="AI30" s="57"/>
      <c r="AJ30" s="6">
        <f t="shared" si="59"/>
        <v>0.18473270912103681</v>
      </c>
      <c r="AK30" s="6">
        <f t="shared" si="60"/>
        <v>0.11165840725306853</v>
      </c>
      <c r="AL30" s="57"/>
      <c r="AM30" s="6">
        <f t="shared" si="61"/>
        <v>0.11392462957005067</v>
      </c>
      <c r="AN30" s="6">
        <f t="shared" si="62"/>
        <v>0.34583419985876379</v>
      </c>
      <c r="AO30" s="55">
        <f t="shared" si="63"/>
        <v>1</v>
      </c>
      <c r="AQ30">
        <f t="shared" si="64"/>
        <v>2013</v>
      </c>
      <c r="AR30" s="2">
        <f t="shared" si="65"/>
        <v>22443.664546551248</v>
      </c>
      <c r="AS30" s="2"/>
      <c r="AT30" s="2">
        <f t="shared" si="66"/>
        <v>17002.575488202703</v>
      </c>
      <c r="AU30" s="2">
        <f t="shared" si="67"/>
        <v>10276.904979339062</v>
      </c>
      <c r="AV30" s="2"/>
      <c r="AW30" s="2">
        <f t="shared" si="68"/>
        <v>10485.485344997494</v>
      </c>
      <c r="AX30" s="2">
        <f t="shared" si="69"/>
        <v>31830.162170404761</v>
      </c>
      <c r="AY30" s="2">
        <f t="shared" si="70"/>
        <v>92038.792529495258</v>
      </c>
      <c r="AZ30" s="2">
        <f t="shared" si="71"/>
        <v>0</v>
      </c>
      <c r="BA30" s="2"/>
      <c r="BC30" s="22"/>
      <c r="BX30" s="2"/>
    </row>
    <row r="31" spans="1:76" x14ac:dyDescent="0.2">
      <c r="A31">
        <f t="shared" si="5"/>
        <v>2014</v>
      </c>
      <c r="B31" s="2">
        <f t="shared" si="17"/>
        <v>25475.803626790323</v>
      </c>
      <c r="C31" s="2"/>
      <c r="D31" s="2">
        <f t="shared" si="18"/>
        <v>19314.925754598273</v>
      </c>
      <c r="E31" s="2">
        <f t="shared" si="18"/>
        <v>11034.312876316351</v>
      </c>
      <c r="F31" s="2"/>
      <c r="G31" s="2">
        <f t="shared" si="19"/>
        <v>10040.900766369601</v>
      </c>
      <c r="H31" s="2">
        <f t="shared" si="19"/>
        <v>33663.579511420081</v>
      </c>
      <c r="I31" s="2">
        <f t="shared" si="41"/>
        <v>99529.522535494616</v>
      </c>
      <c r="J31" s="2">
        <f t="shared" si="42"/>
        <v>2750.1379247357254</v>
      </c>
      <c r="K31" s="6">
        <f t="shared" si="43"/>
        <v>2.8416567596463046E-2</v>
      </c>
      <c r="L31" s="7">
        <f t="shared" si="44"/>
        <v>1.0284165675964629</v>
      </c>
      <c r="N31">
        <f t="shared" si="45"/>
        <v>2014</v>
      </c>
      <c r="O31" s="2">
        <f t="shared" si="23"/>
        <v>4801.7457191119283</v>
      </c>
      <c r="P31" s="2"/>
      <c r="Q31" s="2"/>
      <c r="R31">
        <f t="shared" si="46"/>
        <v>2014</v>
      </c>
      <c r="S31" s="2">
        <f t="shared" si="47"/>
        <v>24515.454482967936</v>
      </c>
      <c r="T31" s="2"/>
      <c r="U31" s="2">
        <f t="shared" si="48"/>
        <v>18354.576610775886</v>
      </c>
      <c r="V31" s="2">
        <f t="shared" si="49"/>
        <v>10073.963732493965</v>
      </c>
      <c r="W31" s="2"/>
      <c r="X31" s="2">
        <f t="shared" si="50"/>
        <v>9080.5516225472147</v>
      </c>
      <c r="Y31" s="2">
        <f t="shared" si="51"/>
        <v>32703.230367597695</v>
      </c>
      <c r="Z31" s="2">
        <f t="shared" si="52"/>
        <v>94727.776816382699</v>
      </c>
      <c r="AA31" s="2">
        <f t="shared" si="53"/>
        <v>2688.9842868874402</v>
      </c>
      <c r="AB31" s="6">
        <f t="shared" si="54"/>
        <v>2.9215771013355193E-2</v>
      </c>
      <c r="AC31" s="7">
        <f t="shared" si="55"/>
        <v>1.0292157710133552</v>
      </c>
      <c r="AD31" s="2">
        <f t="shared" si="56"/>
        <v>0</v>
      </c>
      <c r="AE31" s="2"/>
      <c r="AG31">
        <f t="shared" si="57"/>
        <v>2014</v>
      </c>
      <c r="AH31" s="6">
        <f t="shared" si="58"/>
        <v>0.25879900602426165</v>
      </c>
      <c r="AI31" s="57"/>
      <c r="AJ31" s="6">
        <f t="shared" si="59"/>
        <v>0.19376129396928435</v>
      </c>
      <c r="AK31" s="6">
        <f t="shared" si="60"/>
        <v>0.10634646004646572</v>
      </c>
      <c r="AL31" s="57"/>
      <c r="AM31" s="6">
        <f t="shared" si="61"/>
        <v>9.5859439836202071E-2</v>
      </c>
      <c r="AN31" s="6">
        <f t="shared" si="62"/>
        <v>0.34523380012378624</v>
      </c>
      <c r="AO31" s="55">
        <f t="shared" si="63"/>
        <v>1</v>
      </c>
      <c r="AQ31">
        <f t="shared" si="64"/>
        <v>2014</v>
      </c>
      <c r="AR31" s="2">
        <f t="shared" si="65"/>
        <v>24515.454482967936</v>
      </c>
      <c r="AS31" s="2"/>
      <c r="AT31" s="2">
        <f t="shared" si="66"/>
        <v>18354.576610775886</v>
      </c>
      <c r="AU31" s="2">
        <f t="shared" si="67"/>
        <v>10073.963732493965</v>
      </c>
      <c r="AV31" s="2"/>
      <c r="AW31" s="2">
        <f t="shared" si="68"/>
        <v>9080.5516225472147</v>
      </c>
      <c r="AX31" s="2">
        <f t="shared" si="69"/>
        <v>32703.230367597695</v>
      </c>
      <c r="AY31" s="2">
        <f t="shared" si="70"/>
        <v>94727.776816382699</v>
      </c>
      <c r="AZ31" s="2">
        <f t="shared" si="71"/>
        <v>0</v>
      </c>
      <c r="BA31" s="2"/>
      <c r="BC31" s="22"/>
      <c r="BX31" s="2"/>
    </row>
    <row r="32" spans="1:76" x14ac:dyDescent="0.2">
      <c r="A32">
        <f t="shared" si="5"/>
        <v>2015</v>
      </c>
      <c r="B32" s="2">
        <f t="shared" si="17"/>
        <v>24821.897664005035</v>
      </c>
      <c r="C32" s="2"/>
      <c r="D32" s="2">
        <f t="shared" ref="D32:E32" si="72">AT31*(1+(D12/100))</f>
        <v>18086.599792258559</v>
      </c>
      <c r="E32" s="2">
        <f t="shared" si="72"/>
        <v>9693.1679034056924</v>
      </c>
      <c r="F32" s="2"/>
      <c r="G32" s="2">
        <f t="shared" ref="G32:H32" si="73">AW31*(1+(G12/100))</f>
        <v>8683.7315166419012</v>
      </c>
      <c r="H32" s="2">
        <f t="shared" si="73"/>
        <v>32801.340058700487</v>
      </c>
      <c r="I32" s="2">
        <f t="shared" ref="I32" si="74">SUM(B32:H32)</f>
        <v>94086.736935011664</v>
      </c>
      <c r="J32" s="2">
        <f t="shared" ref="J32" si="75">I32-I31</f>
        <v>-5442.7856004829518</v>
      </c>
      <c r="K32" s="6">
        <f t="shared" ref="K32" si="76">(J32/I31)</f>
        <v>-5.468513725203418E-2</v>
      </c>
      <c r="L32" s="7">
        <f t="shared" ref="L32" si="77">K32+1</f>
        <v>0.94531486274796583</v>
      </c>
      <c r="N32">
        <f t="shared" ref="N32" si="78">A32</f>
        <v>2015</v>
      </c>
      <c r="O32" s="2">
        <f t="shared" si="23"/>
        <v>4822.8734002760202</v>
      </c>
      <c r="P32" s="2"/>
      <c r="Q32" s="2"/>
      <c r="R32">
        <f t="shared" ref="R32" si="79">A32</f>
        <v>2015</v>
      </c>
      <c r="S32" s="2">
        <f t="shared" ref="S32" si="80">B32-($O32/5)</f>
        <v>23857.322983949831</v>
      </c>
      <c r="T32" s="2"/>
      <c r="U32" s="2">
        <f t="shared" ref="U32" si="81">D32-($O32/5)</f>
        <v>17122.025112203355</v>
      </c>
      <c r="V32" s="2">
        <f t="shared" ref="V32" si="82">E32-($O32/5)</f>
        <v>8728.5932233504882</v>
      </c>
      <c r="W32" s="2"/>
      <c r="X32" s="2">
        <f t="shared" ref="X32" si="83">G32-($O32/5)</f>
        <v>7719.156836586697</v>
      </c>
      <c r="Y32" s="2">
        <f t="shared" ref="Y32" si="84">H32-($O32/5)</f>
        <v>31836.765378645283</v>
      </c>
      <c r="Z32" s="2">
        <f t="shared" ref="Z32" si="85">SUM(S32:Y32)</f>
        <v>89263.863534735661</v>
      </c>
      <c r="AA32" s="2">
        <f t="shared" ref="AA32" si="86">Z32-Z31</f>
        <v>-5463.9132816470374</v>
      </c>
      <c r="AB32" s="6">
        <f t="shared" ref="AB32" si="87">(AA32/Z31)</f>
        <v>-5.7680159561203599E-2</v>
      </c>
      <c r="AC32" s="7">
        <f t="shared" ref="AC32" si="88">AB32+1</f>
        <v>0.94231984043879635</v>
      </c>
      <c r="AD32" s="2">
        <f t="shared" ref="AD32" si="89">Z32-(I32-O32)</f>
        <v>0</v>
      </c>
      <c r="AE32" s="2"/>
      <c r="AG32">
        <f t="shared" ref="AG32" si="90">A32</f>
        <v>2015</v>
      </c>
      <c r="AH32" s="6">
        <f t="shared" ref="AH32" si="91">S32/$Z32</f>
        <v>0.26726742535254616</v>
      </c>
      <c r="AI32" s="57"/>
      <c r="AJ32" s="6">
        <f t="shared" ref="AJ32" si="92">U32/$Z32</f>
        <v>0.19181362349995731</v>
      </c>
      <c r="AK32" s="6">
        <f t="shared" ref="AK32" si="93">V32/$Z32</f>
        <v>9.7784174667208873E-2</v>
      </c>
      <c r="AL32" s="57"/>
      <c r="AM32" s="6">
        <f t="shared" ref="AM32" si="94">X32/$Z32</f>
        <v>8.6475719635224005E-2</v>
      </c>
      <c r="AN32" s="6">
        <f t="shared" ref="AN32" si="95">Y32/$Z32</f>
        <v>0.35665905684506355</v>
      </c>
      <c r="AO32" s="55">
        <f t="shared" ref="AO32" si="96">SUM(AH32:AN32)</f>
        <v>1</v>
      </c>
      <c r="AQ32">
        <f t="shared" ref="AQ32" si="97">AG32</f>
        <v>2015</v>
      </c>
      <c r="AR32" s="2">
        <f t="shared" ref="AR32" si="98">S32</f>
        <v>23857.322983949831</v>
      </c>
      <c r="AS32" s="2"/>
      <c r="AT32" s="2">
        <f t="shared" ref="AT32" si="99">U32</f>
        <v>17122.025112203355</v>
      </c>
      <c r="AU32" s="2">
        <f t="shared" ref="AU32" si="100">V32</f>
        <v>8728.5932233504882</v>
      </c>
      <c r="AV32" s="2"/>
      <c r="AW32" s="2">
        <f t="shared" ref="AW32" si="101">X32</f>
        <v>7719.156836586697</v>
      </c>
      <c r="AX32" s="2">
        <f t="shared" ref="AX32" si="102">Y32</f>
        <v>31836.765378645283</v>
      </c>
      <c r="AY32" s="2">
        <f t="shared" ref="AY32" si="103">Z32</f>
        <v>89263.863534735661</v>
      </c>
      <c r="AZ32" s="2">
        <f t="shared" ref="AZ32" si="104">SUM(AR32:AX32)-Z32</f>
        <v>0</v>
      </c>
      <c r="BA32" s="2"/>
      <c r="BC32" s="22"/>
      <c r="BX32" s="2"/>
    </row>
    <row r="33" spans="1:76" x14ac:dyDescent="0.2">
      <c r="A33">
        <f t="shared" si="5"/>
        <v>2016</v>
      </c>
      <c r="B33" s="2">
        <f t="shared" si="17"/>
        <v>26677.258560652703</v>
      </c>
      <c r="C33" s="2"/>
      <c r="D33" s="2">
        <f>AT32*(1+(D13/100))</f>
        <v>19017.433292124268</v>
      </c>
      <c r="E33" s="2">
        <f>AU32*(1+(E13/100))</f>
        <v>10314.578612033272</v>
      </c>
      <c r="F33" s="2"/>
      <c r="G33" s="2">
        <f>AW32*(1+(G13/100))</f>
        <v>8078.0976294879783</v>
      </c>
      <c r="H33" s="2">
        <f>AX32*(1+(H13/100))</f>
        <v>32632.684513111413</v>
      </c>
      <c r="I33" s="2">
        <f t="shared" ref="I33" si="105">SUM(B33:H33)</f>
        <v>96720.052607409641</v>
      </c>
      <c r="J33" s="2">
        <f t="shared" ref="J33" si="106">I33-I32</f>
        <v>2633.3156723979773</v>
      </c>
      <c r="K33" s="6">
        <f t="shared" ref="K33" si="107">(J33/I32)</f>
        <v>2.7988170896147475E-2</v>
      </c>
      <c r="L33" s="7">
        <f t="shared" ref="L33" si="108">K33+1</f>
        <v>1.0279881708961476</v>
      </c>
      <c r="N33">
        <f t="shared" ref="N33" si="109">A33</f>
        <v>2016</v>
      </c>
      <c r="O33" s="2">
        <f t="shared" si="23"/>
        <v>4904.8622480807117</v>
      </c>
      <c r="P33" s="2"/>
      <c r="Q33" s="2"/>
      <c r="R33">
        <f t="shared" ref="R33" si="110">A33</f>
        <v>2016</v>
      </c>
      <c r="S33" s="2">
        <f t="shared" ref="S33" si="111">B33-($O33/5)</f>
        <v>25696.286111036559</v>
      </c>
      <c r="T33" s="2"/>
      <c r="U33" s="2">
        <f t="shared" ref="U33" si="112">D33-($O33/5)</f>
        <v>18036.460842508124</v>
      </c>
      <c r="V33" s="2">
        <f t="shared" ref="V33" si="113">E33-($O33/5)</f>
        <v>9333.6061624171307</v>
      </c>
      <c r="W33" s="2"/>
      <c r="X33" s="2">
        <f t="shared" ref="X33" si="114">G33-($O33/5)</f>
        <v>7097.1251798718358</v>
      </c>
      <c r="Y33" s="2">
        <f t="shared" ref="Y33" si="115">H33-($O33/5)</f>
        <v>31651.71206349527</v>
      </c>
      <c r="Z33" s="2">
        <f t="shared" ref="Z33" si="116">SUM(S33:Y33)</f>
        <v>91815.190359328917</v>
      </c>
      <c r="AA33" s="2">
        <f t="shared" ref="AA33" si="117">Z33-Z32</f>
        <v>2551.3268245932559</v>
      </c>
      <c r="AB33" s="6">
        <f t="shared" ref="AB33" si="118">(AA33/Z32)</f>
        <v>2.8581855227456588E-2</v>
      </c>
      <c r="AC33" s="7">
        <f t="shared" ref="AC33" si="119">AB33+1</f>
        <v>1.0285818552274566</v>
      </c>
      <c r="AD33" s="2">
        <f t="shared" ref="AD33" si="120">Z33-(I33-O33)</f>
        <v>0</v>
      </c>
      <c r="AE33" s="2"/>
      <c r="AG33">
        <f t="shared" ref="AG33" si="121">A33</f>
        <v>2016</v>
      </c>
      <c r="AH33" s="6">
        <f t="shared" ref="AH33" si="122">S33/$Z33</f>
        <v>0.27986966002544128</v>
      </c>
      <c r="AI33" s="57"/>
      <c r="AJ33" s="6">
        <f t="shared" ref="AJ33" si="123">U33/$Z33</f>
        <v>0.19644310240952981</v>
      </c>
      <c r="AK33" s="6">
        <f t="shared" ref="AK33" si="124">V33/$Z33</f>
        <v>0.1016564484143531</v>
      </c>
      <c r="AL33" s="57"/>
      <c r="AM33" s="6">
        <f t="shared" ref="AM33" si="125">X33/$Z33</f>
        <v>7.7297941136934431E-2</v>
      </c>
      <c r="AN33" s="6">
        <f t="shared" ref="AN33" si="126">Y33/$Z33</f>
        <v>0.34473284801374138</v>
      </c>
      <c r="AO33" s="55">
        <f t="shared" ref="AO33" si="127">SUM(AH33:AN33)</f>
        <v>1</v>
      </c>
      <c r="AQ33">
        <f t="shared" ref="AQ33" si="128">AG33</f>
        <v>2016</v>
      </c>
      <c r="AR33" s="2">
        <f t="shared" ref="AR33" si="129">S33</f>
        <v>25696.286111036559</v>
      </c>
      <c r="AS33" s="2"/>
      <c r="AT33" s="2">
        <f t="shared" ref="AT33" si="130">U33</f>
        <v>18036.460842508124</v>
      </c>
      <c r="AU33" s="2">
        <f t="shared" ref="AU33" si="131">V33</f>
        <v>9333.6061624171307</v>
      </c>
      <c r="AV33" s="2"/>
      <c r="AW33" s="2">
        <f t="shared" ref="AW33" si="132">X33</f>
        <v>7097.1251798718358</v>
      </c>
      <c r="AX33" s="2">
        <f t="shared" ref="AX33" si="133">Y33</f>
        <v>31651.71206349527</v>
      </c>
      <c r="AY33" s="2">
        <f t="shared" ref="AY33" si="134">Z33</f>
        <v>91815.190359328917</v>
      </c>
      <c r="AZ33" s="2">
        <f t="shared" ref="AZ33" si="135">SUM(AR33:AX33)-Z33</f>
        <v>0</v>
      </c>
      <c r="BA33" s="2"/>
      <c r="BC33" s="22"/>
      <c r="BX33" s="2"/>
    </row>
    <row r="34" spans="1:76" x14ac:dyDescent="0.2">
      <c r="A34">
        <f t="shared" si="5"/>
        <v>2017</v>
      </c>
      <c r="B34" s="2">
        <f t="shared" si="17"/>
        <v>31264.671311298178</v>
      </c>
      <c r="C34" s="2"/>
      <c r="D34" s="2">
        <f t="shared" ref="D34:E34" si="136">AT33*(1+(D14/100))</f>
        <v>21571.607167639715</v>
      </c>
      <c r="E34" s="2">
        <f t="shared" si="136"/>
        <v>10836.316754566289</v>
      </c>
      <c r="F34" s="2"/>
      <c r="G34" s="2">
        <f t="shared" ref="G34:H34" si="137">AW33*(1+(G14/100))</f>
        <v>9041.7374791567181</v>
      </c>
      <c r="H34" s="2">
        <f t="shared" si="137"/>
        <v>32746.861300892204</v>
      </c>
      <c r="I34" s="2">
        <f t="shared" ref="I34:I35" si="138">SUM(B34:H34)</f>
        <v>105461.19401355309</v>
      </c>
      <c r="J34" s="2">
        <f t="shared" ref="J34:J35" si="139">I34-I33</f>
        <v>8741.141406143448</v>
      </c>
      <c r="K34" s="6">
        <f t="shared" ref="K34:K35" si="140">(J34/I33)</f>
        <v>9.0375689120270358E-2</v>
      </c>
      <c r="L34" s="7">
        <f t="shared" ref="L34:L35" si="141">K34+1</f>
        <v>1.0903756891202703</v>
      </c>
      <c r="N34">
        <f t="shared" ref="N34:N35" si="142">A34</f>
        <v>2017</v>
      </c>
      <c r="O34" s="2">
        <f t="shared" si="23"/>
        <v>5014.2406762129112</v>
      </c>
      <c r="P34" s="2"/>
      <c r="Q34" s="2"/>
      <c r="R34">
        <f t="shared" ref="R34:R35" si="143">A34</f>
        <v>2017</v>
      </c>
      <c r="S34" s="2">
        <f t="shared" ref="S34:S35" si="144">B34-($O34/5)</f>
        <v>30261.823176055597</v>
      </c>
      <c r="T34" s="2"/>
      <c r="U34" s="2">
        <f t="shared" ref="U34:U35" si="145">D34-($O34/5)</f>
        <v>20568.759032397134</v>
      </c>
      <c r="V34" s="2">
        <f t="shared" ref="V34:V35" si="146">E34-($O34/5)</f>
        <v>9833.4686193237067</v>
      </c>
      <c r="W34" s="2"/>
      <c r="X34" s="2">
        <f t="shared" ref="X34:X35" si="147">G34-($O34/5)</f>
        <v>8038.8893439141357</v>
      </c>
      <c r="Y34" s="2">
        <f t="shared" ref="Y34:Y35" si="148">H34-($O34/5)</f>
        <v>31744.013165649623</v>
      </c>
      <c r="Z34" s="2">
        <f t="shared" ref="Z34:Z35" si="149">SUM(S34:Y34)</f>
        <v>100446.95333734019</v>
      </c>
      <c r="AA34" s="2">
        <f t="shared" ref="AA34:AA35" si="150">Z34-Z33</f>
        <v>8631.7629780112766</v>
      </c>
      <c r="AB34" s="6">
        <f t="shared" ref="AB34:AB35" si="151">(AA34/Z33)</f>
        <v>9.4012362706322516E-2</v>
      </c>
      <c r="AC34" s="7">
        <f t="shared" ref="AC34:AC35" si="152">AB34+1</f>
        <v>1.0940123627063225</v>
      </c>
      <c r="AD34" s="2">
        <f t="shared" ref="AD34:AD35" si="153">Z34-(I34-O34)</f>
        <v>0</v>
      </c>
      <c r="AE34" s="2"/>
      <c r="AG34">
        <f t="shared" ref="AG34:AG35" si="154">A34</f>
        <v>2017</v>
      </c>
      <c r="AH34" s="6">
        <f t="shared" ref="AH34:AH35" si="155">S34/$Z34</f>
        <v>0.30127168789703901</v>
      </c>
      <c r="AI34" s="57"/>
      <c r="AJ34" s="6">
        <f t="shared" ref="AJ34:AJ35" si="156">U34/$Z34</f>
        <v>0.20477235345624858</v>
      </c>
      <c r="AK34" s="6">
        <f t="shared" ref="AK34:AK35" si="157">V34/$Z34</f>
        <v>9.7897131695961648E-2</v>
      </c>
      <c r="AL34" s="57"/>
      <c r="AM34" s="6">
        <f t="shared" ref="AM34:AM35" si="158">X34/$Z34</f>
        <v>8.0031191358451645E-2</v>
      </c>
      <c r="AN34" s="6">
        <f t="shared" ref="AN34:AN35" si="159">Y34/$Z34</f>
        <v>0.31602763559229913</v>
      </c>
      <c r="AO34" s="55">
        <f t="shared" ref="AO34:AO35" si="160">SUM(AH34:AN34)</f>
        <v>1</v>
      </c>
      <c r="AQ34">
        <f t="shared" ref="AQ34:AQ35" si="161">AG34</f>
        <v>2017</v>
      </c>
      <c r="AR34" s="2">
        <f t="shared" ref="AR34:AR35" si="162">S34</f>
        <v>30261.823176055597</v>
      </c>
      <c r="AS34" s="2"/>
      <c r="AT34" s="2">
        <f t="shared" ref="AT34:AT35" si="163">U34</f>
        <v>20568.759032397134</v>
      </c>
      <c r="AU34" s="2">
        <f t="shared" ref="AU34:AU35" si="164">V34</f>
        <v>9833.4686193237067</v>
      </c>
      <c r="AV34" s="2"/>
      <c r="AW34" s="2">
        <f t="shared" ref="AW34:AW35" si="165">X34</f>
        <v>8038.8893439141357</v>
      </c>
      <c r="AX34" s="2">
        <f t="shared" ref="AX34:AX35" si="166">Y34</f>
        <v>31744.013165649623</v>
      </c>
      <c r="AY34" s="2">
        <f t="shared" ref="AY34:AY35" si="167">Z34</f>
        <v>100446.95333734019</v>
      </c>
      <c r="AZ34" s="2">
        <f t="shared" ref="AZ34:AZ35" si="168">SUM(AR34:AX34)-Z34</f>
        <v>0</v>
      </c>
      <c r="BA34" s="2"/>
      <c r="BC34" s="22"/>
      <c r="BX34" s="2"/>
    </row>
    <row r="35" spans="1:76" x14ac:dyDescent="0.2">
      <c r="A35">
        <f t="shared" si="5"/>
        <v>2018</v>
      </c>
      <c r="B35" s="2">
        <f t="shared" si="17"/>
        <v>28900.041133133094</v>
      </c>
      <c r="C35" s="2"/>
      <c r="D35" s="2">
        <f t="shared" ref="D35:E35" si="169">AT34*(1+(D15/100))</f>
        <v>18655.864442384202</v>
      </c>
      <c r="E35" s="2">
        <f t="shared" si="169"/>
        <v>8909.1225691072777</v>
      </c>
      <c r="F35" s="2"/>
      <c r="G35" s="2">
        <f t="shared" ref="G35:H35" si="170">AW34*(1+(G15/100))</f>
        <v>6873.250389046586</v>
      </c>
      <c r="H35" s="2">
        <f t="shared" si="170"/>
        <v>31712.269152483972</v>
      </c>
      <c r="I35" s="2">
        <f t="shared" si="138"/>
        <v>95050.547686155129</v>
      </c>
      <c r="J35" s="2">
        <f t="shared" si="139"/>
        <v>-10410.646327397961</v>
      </c>
      <c r="K35" s="6">
        <f t="shared" si="140"/>
        <v>-9.8715422528404734E-2</v>
      </c>
      <c r="L35" s="7">
        <f t="shared" si="141"/>
        <v>0.90128457747159529</v>
      </c>
      <c r="N35">
        <f t="shared" si="142"/>
        <v>2018</v>
      </c>
      <c r="O35" s="2">
        <f t="shared" si="23"/>
        <v>5124.9989904976583</v>
      </c>
      <c r="P35" s="2"/>
      <c r="Q35" s="2"/>
      <c r="R35">
        <f t="shared" si="143"/>
        <v>2018</v>
      </c>
      <c r="S35" s="2">
        <f t="shared" si="144"/>
        <v>27875.041335033562</v>
      </c>
      <c r="T35" s="2"/>
      <c r="U35" s="2">
        <f t="shared" si="145"/>
        <v>17630.864644284669</v>
      </c>
      <c r="V35" s="2">
        <f t="shared" si="146"/>
        <v>7884.1227710077455</v>
      </c>
      <c r="W35" s="2"/>
      <c r="X35" s="2">
        <f t="shared" si="147"/>
        <v>5848.2505909470547</v>
      </c>
      <c r="Y35" s="2">
        <f t="shared" si="148"/>
        <v>30687.26935438444</v>
      </c>
      <c r="Z35" s="2">
        <f t="shared" si="149"/>
        <v>89925.548695657475</v>
      </c>
      <c r="AA35" s="2">
        <f t="shared" si="150"/>
        <v>-10521.404641682719</v>
      </c>
      <c r="AB35" s="6">
        <f t="shared" si="151"/>
        <v>-0.10474588120505481</v>
      </c>
      <c r="AC35" s="7">
        <f t="shared" si="152"/>
        <v>0.89525411879494521</v>
      </c>
      <c r="AD35" s="2">
        <f t="shared" si="153"/>
        <v>0</v>
      </c>
      <c r="AE35" s="2"/>
      <c r="AG35">
        <f t="shared" si="154"/>
        <v>2018</v>
      </c>
      <c r="AH35" s="6">
        <f t="shared" si="155"/>
        <v>0.30997910759903602</v>
      </c>
      <c r="AI35" s="57"/>
      <c r="AJ35" s="6">
        <f t="shared" si="156"/>
        <v>0.19606068464429696</v>
      </c>
      <c r="AK35" s="6">
        <f t="shared" si="157"/>
        <v>8.7673891184035346E-2</v>
      </c>
      <c r="AL35" s="57"/>
      <c r="AM35" s="6">
        <f t="shared" si="158"/>
        <v>6.5034360932728658E-2</v>
      </c>
      <c r="AN35" s="6">
        <f t="shared" si="159"/>
        <v>0.34125195563990296</v>
      </c>
      <c r="AO35" s="55">
        <f t="shared" si="160"/>
        <v>0.99999999999999989</v>
      </c>
      <c r="AQ35">
        <f t="shared" si="161"/>
        <v>2018</v>
      </c>
      <c r="AR35" s="2">
        <f t="shared" si="162"/>
        <v>27875.041335033562</v>
      </c>
      <c r="AS35" s="2"/>
      <c r="AT35" s="2">
        <f t="shared" si="163"/>
        <v>17630.864644284669</v>
      </c>
      <c r="AU35" s="2">
        <f t="shared" si="164"/>
        <v>7884.1227710077455</v>
      </c>
      <c r="AV35" s="2"/>
      <c r="AW35" s="2">
        <f t="shared" si="165"/>
        <v>5848.2505909470547</v>
      </c>
      <c r="AX35" s="2">
        <f t="shared" si="166"/>
        <v>30687.26935438444</v>
      </c>
      <c r="AY35" s="2">
        <f t="shared" si="167"/>
        <v>89925.548695657475</v>
      </c>
      <c r="AZ35" s="2">
        <f t="shared" si="168"/>
        <v>0</v>
      </c>
      <c r="BA35" s="2"/>
      <c r="BC35" s="22"/>
      <c r="BX35" s="2"/>
    </row>
    <row r="36" spans="1:76" x14ac:dyDescent="0.2">
      <c r="A36">
        <f t="shared" ref="A36:A37" si="171">A16</f>
        <v>2019</v>
      </c>
      <c r="B36" s="2">
        <f t="shared" ref="B36:B37" si="172">AR35*(1+(B16/100))</f>
        <v>36643.414337381721</v>
      </c>
      <c r="C36" s="2"/>
      <c r="D36" s="2">
        <f t="shared" ref="D36:D37" si="173">AT35*(1+(D16/100))</f>
        <v>23102.004037240513</v>
      </c>
      <c r="E36" s="2">
        <f t="shared" ref="E36:E37" si="174">AU35*(1+(E16/100))</f>
        <v>10041.802186240518</v>
      </c>
      <c r="F36" s="2"/>
      <c r="G36" s="2">
        <f t="shared" ref="G36:G37" si="175">AW35*(1+(G16/100))</f>
        <v>7106.0923280479465</v>
      </c>
      <c r="H36" s="2">
        <f t="shared" ref="H36:H37" si="176">AX35*(1+(H16/100))</f>
        <v>33361.358005925496</v>
      </c>
      <c r="I36" s="2">
        <f t="shared" ref="I36:I37" si="177">SUM(B36:H36)</f>
        <v>110254.67089483619</v>
      </c>
      <c r="J36" s="2">
        <f t="shared" ref="J36:J37" si="178">I36-I35</f>
        <v>15204.123208681063</v>
      </c>
      <c r="K36" s="6">
        <f t="shared" ref="K36:K37" si="179">(J36/I35)</f>
        <v>0.15995829144386578</v>
      </c>
      <c r="L36" s="7">
        <f t="shared" ref="L36:L37" si="180">K36+1</f>
        <v>1.1599582914438658</v>
      </c>
      <c r="N36">
        <f t="shared" ref="N36:N37" si="181">A36</f>
        <v>2019</v>
      </c>
      <c r="O36" s="2">
        <f t="shared" ref="O36:O37" si="182">O35*(1+O16)</f>
        <v>5242.1717217769447</v>
      </c>
      <c r="P36" s="2"/>
      <c r="Q36" s="2"/>
      <c r="R36">
        <f t="shared" ref="R36:R37" si="183">A36</f>
        <v>2019</v>
      </c>
      <c r="S36" s="2">
        <f t="shared" ref="S36:S37" si="184">B36-($O36/5)</f>
        <v>35594.979993026333</v>
      </c>
      <c r="T36" s="2"/>
      <c r="U36" s="2">
        <f t="shared" ref="U36:U37" si="185">D36-($O36/5)</f>
        <v>22053.569692885125</v>
      </c>
      <c r="V36" s="2">
        <f t="shared" ref="V36:V37" si="186">E36-($O36/5)</f>
        <v>8993.3678418851305</v>
      </c>
      <c r="W36" s="2"/>
      <c r="X36" s="2">
        <f t="shared" ref="X36:X37" si="187">G36-($O36/5)</f>
        <v>6057.6579836925575</v>
      </c>
      <c r="Y36" s="2">
        <f t="shared" ref="Y36:Y37" si="188">H36-($O36/5)</f>
        <v>32312.923661570108</v>
      </c>
      <c r="Z36" s="2">
        <f t="shared" ref="Z36:Z37" si="189">SUM(S36:Y36)</f>
        <v>105012.49917305924</v>
      </c>
      <c r="AA36" s="2">
        <f t="shared" ref="AA36:AA37" si="190">Z36-Z35</f>
        <v>15086.95047740177</v>
      </c>
      <c r="AB36" s="6">
        <f t="shared" ref="AB36:AB37" si="191">(AA36/Z35)</f>
        <v>0.16777156988456965</v>
      </c>
      <c r="AC36" s="7">
        <f t="shared" ref="AC36:AC37" si="192">AB36+1</f>
        <v>1.1677715698845696</v>
      </c>
      <c r="AD36" s="2">
        <f t="shared" ref="AD36:AD37" si="193">Z36-(I36-O36)</f>
        <v>0</v>
      </c>
      <c r="AE36" s="2"/>
      <c r="AG36">
        <f t="shared" ref="AG36:AG37" si="194">A36</f>
        <v>2019</v>
      </c>
      <c r="AH36" s="6">
        <f t="shared" ref="AH36:AH37" si="195">S36/$Z36</f>
        <v>0.33895945981026759</v>
      </c>
      <c r="AI36" s="57"/>
      <c r="AJ36" s="6">
        <f t="shared" ref="AJ36:AJ37" si="196">U36/$Z36</f>
        <v>0.21000899765789904</v>
      </c>
      <c r="AK36" s="6">
        <f t="shared" ref="AK36:AK37" si="197">V36/$Z36</f>
        <v>8.5640927629616517E-2</v>
      </c>
      <c r="AL36" s="57"/>
      <c r="AM36" s="6">
        <f t="shared" ref="AM36:AM37" si="198">X36/$Z36</f>
        <v>5.7685113975905054E-2</v>
      </c>
      <c r="AN36" s="6">
        <f t="shared" ref="AN36:AN37" si="199">Y36/$Z36</f>
        <v>0.30770550092631188</v>
      </c>
      <c r="AO36" s="55">
        <f t="shared" ref="AO36:AO37" si="200">SUM(AH36:AN36)</f>
        <v>1</v>
      </c>
      <c r="AQ36">
        <f t="shared" ref="AQ36:AQ37" si="201">AG36</f>
        <v>2019</v>
      </c>
      <c r="AR36" s="2">
        <f t="shared" ref="AR36:AR37" si="202">S36</f>
        <v>35594.979993026333</v>
      </c>
      <c r="AS36" s="2"/>
      <c r="AT36" s="2">
        <f t="shared" ref="AT36:AT37" si="203">U36</f>
        <v>22053.569692885125</v>
      </c>
      <c r="AU36" s="2">
        <f t="shared" ref="AU36:AU37" si="204">V36</f>
        <v>8993.3678418851305</v>
      </c>
      <c r="AV36" s="2"/>
      <c r="AW36" s="2">
        <f t="shared" ref="AW36:AW37" si="205">X36</f>
        <v>6057.6579836925575</v>
      </c>
      <c r="AX36" s="2">
        <f t="shared" ref="AX36:AX37" si="206">Y36</f>
        <v>32312.923661570108</v>
      </c>
      <c r="AY36" s="2">
        <f t="shared" ref="AY36:AY37" si="207">Z36</f>
        <v>105012.49917305924</v>
      </c>
      <c r="AZ36" s="2">
        <f t="shared" ref="AZ36:AZ37" si="208">SUM(AR36:AX36)-Z36</f>
        <v>0</v>
      </c>
      <c r="BA36" s="2"/>
      <c r="BC36" s="22"/>
      <c r="BX36" s="2"/>
    </row>
    <row r="37" spans="1:76" x14ac:dyDescent="0.2">
      <c r="A37">
        <f t="shared" si="171"/>
        <v>2020</v>
      </c>
      <c r="B37" s="2">
        <f t="shared" si="172"/>
        <v>42133.777817745271</v>
      </c>
      <c r="C37" s="2"/>
      <c r="D37" s="2">
        <f t="shared" si="173"/>
        <v>26076.140804867369</v>
      </c>
      <c r="E37" s="2">
        <f t="shared" si="174"/>
        <v>10712.00043646938</v>
      </c>
      <c r="F37" s="2"/>
      <c r="G37" s="2">
        <f t="shared" si="175"/>
        <v>6740.9618042530783</v>
      </c>
      <c r="H37" s="2">
        <f t="shared" si="176"/>
        <v>34807.481368243316</v>
      </c>
      <c r="I37" s="2">
        <f t="shared" si="177"/>
        <v>120470.3622315784</v>
      </c>
      <c r="J37" s="2">
        <f t="shared" si="178"/>
        <v>10215.691336742209</v>
      </c>
      <c r="K37" s="6">
        <f t="shared" si="179"/>
        <v>9.2655406377170221E-2</v>
      </c>
      <c r="L37" s="7">
        <f t="shared" si="180"/>
        <v>1.0926554063771703</v>
      </c>
      <c r="N37">
        <f t="shared" si="181"/>
        <v>2020</v>
      </c>
      <c r="O37" s="2">
        <f t="shared" si="182"/>
        <v>5242.1717217769447</v>
      </c>
      <c r="P37" s="2"/>
      <c r="Q37" s="2"/>
      <c r="R37">
        <f t="shared" si="183"/>
        <v>2020</v>
      </c>
      <c r="S37" s="2">
        <f t="shared" si="184"/>
        <v>41085.343473389883</v>
      </c>
      <c r="T37" s="2"/>
      <c r="U37" s="2">
        <f t="shared" si="185"/>
        <v>25027.706460511981</v>
      </c>
      <c r="V37" s="2">
        <f t="shared" si="186"/>
        <v>9663.5660921139897</v>
      </c>
      <c r="W37" s="2"/>
      <c r="X37" s="2">
        <f t="shared" si="187"/>
        <v>5692.5274598976894</v>
      </c>
      <c r="Y37" s="2">
        <f t="shared" si="188"/>
        <v>33759.047023887928</v>
      </c>
      <c r="Z37" s="2">
        <f t="shared" si="189"/>
        <v>115228.19050980147</v>
      </c>
      <c r="AA37" s="2">
        <f t="shared" si="190"/>
        <v>10215.691336742224</v>
      </c>
      <c r="AB37" s="6">
        <f t="shared" si="191"/>
        <v>9.7280718173432826E-2</v>
      </c>
      <c r="AC37" s="7">
        <f t="shared" si="192"/>
        <v>1.0972807181734328</v>
      </c>
      <c r="AD37" s="2">
        <f t="shared" si="193"/>
        <v>0</v>
      </c>
      <c r="AE37" s="2"/>
      <c r="AG37">
        <f t="shared" si="194"/>
        <v>2020</v>
      </c>
      <c r="AH37" s="6">
        <f t="shared" si="195"/>
        <v>0.35655635388889584</v>
      </c>
      <c r="AI37" s="57"/>
      <c r="AJ37" s="6">
        <f t="shared" si="196"/>
        <v>0.2172012451968782</v>
      </c>
      <c r="AK37" s="6">
        <f t="shared" si="197"/>
        <v>8.3864599880981328E-2</v>
      </c>
      <c r="AL37" s="57"/>
      <c r="AM37" s="6">
        <f t="shared" si="198"/>
        <v>4.9402211687195378E-2</v>
      </c>
      <c r="AN37" s="6">
        <f t="shared" si="199"/>
        <v>0.29297558934604928</v>
      </c>
      <c r="AO37" s="55">
        <f t="shared" si="200"/>
        <v>1</v>
      </c>
      <c r="AQ37">
        <f t="shared" si="201"/>
        <v>2020</v>
      </c>
      <c r="AR37" s="2">
        <f t="shared" si="202"/>
        <v>41085.343473389883</v>
      </c>
      <c r="AS37" s="2"/>
      <c r="AT37" s="2">
        <f t="shared" si="203"/>
        <v>25027.706460511981</v>
      </c>
      <c r="AU37" s="2">
        <f t="shared" si="204"/>
        <v>9663.5660921139897</v>
      </c>
      <c r="AV37" s="2"/>
      <c r="AW37" s="2">
        <f t="shared" si="205"/>
        <v>5692.5274598976894</v>
      </c>
      <c r="AX37" s="2">
        <f t="shared" si="206"/>
        <v>33759.047023887928</v>
      </c>
      <c r="AY37" s="2">
        <f t="shared" si="207"/>
        <v>115228.19050980147</v>
      </c>
      <c r="AZ37" s="2">
        <f t="shared" si="208"/>
        <v>0</v>
      </c>
      <c r="BA37" s="2"/>
      <c r="BC37" s="22"/>
      <c r="BX37" s="2"/>
    </row>
    <row r="38" spans="1:76" x14ac:dyDescent="0.2">
      <c r="A38" s="9" t="s">
        <v>44</v>
      </c>
      <c r="B38" s="10">
        <f>AR38</f>
        <v>41085.343473389883</v>
      </c>
      <c r="C38" s="10"/>
      <c r="D38" s="10">
        <f>AT38</f>
        <v>25027.706460511981</v>
      </c>
      <c r="E38" s="10">
        <f>AU38</f>
        <v>9663.5660921139897</v>
      </c>
      <c r="F38" s="10"/>
      <c r="G38" s="10">
        <f>AW38</f>
        <v>5692.5274598976894</v>
      </c>
      <c r="H38" s="10">
        <f>AX38</f>
        <v>33759.047023887928</v>
      </c>
      <c r="I38" s="10">
        <f>SUM(B38:H38)</f>
        <v>115228.19050980147</v>
      </c>
      <c r="J38" s="10"/>
      <c r="K38" s="10"/>
      <c r="N38" t="s">
        <v>75</v>
      </c>
      <c r="O38" s="2">
        <f>O37</f>
        <v>5242.1717217769447</v>
      </c>
      <c r="P38" s="2"/>
      <c r="R38" s="9" t="s">
        <v>44</v>
      </c>
      <c r="S38" s="10">
        <f>S37</f>
        <v>41085.343473389883</v>
      </c>
      <c r="T38" s="10"/>
      <c r="U38" s="10">
        <f>U37</f>
        <v>25027.706460511981</v>
      </c>
      <c r="V38" s="10">
        <f>V37</f>
        <v>9663.5660921139897</v>
      </c>
      <c r="W38" s="10"/>
      <c r="X38" s="10">
        <f>X37</f>
        <v>5692.5274598976894</v>
      </c>
      <c r="Y38" s="10">
        <f>Y37</f>
        <v>33759.047023887928</v>
      </c>
      <c r="Z38" s="56">
        <f>SUM(S38:Y38)</f>
        <v>115228.19050980147</v>
      </c>
      <c r="AA38" s="40"/>
      <c r="AB38" s="40"/>
      <c r="AC38" s="40"/>
      <c r="AD38" s="40"/>
      <c r="AE38" s="40"/>
      <c r="AK38" s="7"/>
      <c r="AQ38" s="9" t="s">
        <v>44</v>
      </c>
      <c r="AR38" s="10">
        <f>AR37</f>
        <v>41085.343473389883</v>
      </c>
      <c r="AS38" s="10"/>
      <c r="AT38" s="10">
        <f>AT37</f>
        <v>25027.706460511981</v>
      </c>
      <c r="AU38" s="10">
        <f>AU37</f>
        <v>9663.5660921139897</v>
      </c>
      <c r="AV38" s="10"/>
      <c r="AW38" s="10">
        <f>AW37</f>
        <v>5692.5274598976894</v>
      </c>
      <c r="AX38" s="10">
        <f>AX37</f>
        <v>33759.047023887928</v>
      </c>
      <c r="AY38" s="56">
        <f>SUM(AR38:AX38)</f>
        <v>115228.19050980147</v>
      </c>
      <c r="AZ38" s="2">
        <f t="shared" si="16"/>
        <v>0</v>
      </c>
    </row>
    <row r="39" spans="1:76" x14ac:dyDescent="0.2">
      <c r="A39" s="11" t="s">
        <v>88</v>
      </c>
      <c r="I39" s="6">
        <f>(Z38-Z23)/Z23</f>
        <v>0.15228190509801467</v>
      </c>
      <c r="K39" s="6"/>
      <c r="N39" t="s">
        <v>36</v>
      </c>
      <c r="O39" s="2">
        <f>SUM(O24:O37)</f>
        <v>66636.373625768567</v>
      </c>
      <c r="P39" s="2"/>
    </row>
    <row r="40" spans="1:76" x14ac:dyDescent="0.2">
      <c r="A40" s="1" t="s">
        <v>89</v>
      </c>
      <c r="I40" s="12">
        <f>STDEV(AC24:AC37)</f>
        <v>0.10776369429263659</v>
      </c>
    </row>
    <row r="41" spans="1:76" x14ac:dyDescent="0.2">
      <c r="A41" s="1" t="s">
        <v>90</v>
      </c>
      <c r="I41" s="13">
        <f>((1+I39)^(1/I48))-1</f>
        <v>1.0176015748200262E-2</v>
      </c>
    </row>
    <row r="42" spans="1:76" x14ac:dyDescent="0.2">
      <c r="A42" s="1" t="s">
        <v>48</v>
      </c>
      <c r="I42" s="27">
        <f>AA25</f>
        <v>-26552.679323540011</v>
      </c>
      <c r="O42" s="2"/>
      <c r="P42" s="2"/>
    </row>
    <row r="43" spans="1:76" x14ac:dyDescent="0.2">
      <c r="A43" s="1" t="s">
        <v>49</v>
      </c>
      <c r="I43" s="28">
        <f>AB25</f>
        <v>-0.25803017044501336</v>
      </c>
    </row>
    <row r="44" spans="1:76" x14ac:dyDescent="0.2">
      <c r="A44" s="1" t="s">
        <v>77</v>
      </c>
      <c r="I44" s="2">
        <f>O39</f>
        <v>66636.373625768567</v>
      </c>
    </row>
    <row r="45" spans="1:76" x14ac:dyDescent="0.2">
      <c r="A45" s="3" t="s">
        <v>50</v>
      </c>
      <c r="I45" s="29">
        <f>I38-Z37</f>
        <v>0</v>
      </c>
    </row>
    <row r="46" spans="1:76" x14ac:dyDescent="0.2">
      <c r="A46" s="3" t="s">
        <v>134</v>
      </c>
      <c r="I46" s="29">
        <f>((SUM(AA24:AA37)))-(I38-I23)</f>
        <v>0</v>
      </c>
    </row>
    <row r="47" spans="1:76" x14ac:dyDescent="0.2">
      <c r="A47" s="3" t="s">
        <v>135</v>
      </c>
      <c r="I47" s="29">
        <f>(SUM(O24:O37))-I44</f>
        <v>0</v>
      </c>
    </row>
    <row r="48" spans="1:76" x14ac:dyDescent="0.2">
      <c r="A48" s="3" t="s">
        <v>139</v>
      </c>
      <c r="I48" s="3">
        <f>COUNTA(I24:I37)</f>
        <v>14</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5"/>
  <sheetViews>
    <sheetView workbookViewId="0">
      <selection activeCell="A17" sqref="A17:XFD25"/>
    </sheetView>
  </sheetViews>
  <sheetFormatPr baseColWidth="10" defaultColWidth="8.83203125" defaultRowHeight="15" x14ac:dyDescent="0.2"/>
  <sheetData>
    <row r="1" spans="1:1" x14ac:dyDescent="0.2">
      <c r="A1" s="18" t="s">
        <v>56</v>
      </c>
    </row>
    <row r="3" spans="1:1" x14ac:dyDescent="0.2">
      <c r="A3" t="s">
        <v>78</v>
      </c>
    </row>
    <row r="5" spans="1:1" x14ac:dyDescent="0.2">
      <c r="A5" s="33" t="s">
        <v>59</v>
      </c>
    </row>
    <row r="6" spans="1:1" x14ac:dyDescent="0.2">
      <c r="A6" t="s">
        <v>163</v>
      </c>
    </row>
    <row r="7" spans="1:1" x14ac:dyDescent="0.2">
      <c r="A7" t="s">
        <v>164</v>
      </c>
    </row>
    <row r="8" spans="1:1" x14ac:dyDescent="0.2">
      <c r="A8" t="s">
        <v>60</v>
      </c>
    </row>
    <row r="9" spans="1:1" x14ac:dyDescent="0.2">
      <c r="A9" t="s">
        <v>165</v>
      </c>
    </row>
    <row r="10" spans="1:1" x14ac:dyDescent="0.2">
      <c r="A10" t="s">
        <v>166</v>
      </c>
    </row>
    <row r="11" spans="1:1" x14ac:dyDescent="0.2">
      <c r="A11" s="31" t="s">
        <v>61</v>
      </c>
    </row>
    <row r="12" spans="1:1" x14ac:dyDescent="0.2">
      <c r="A12" s="31" t="s">
        <v>0</v>
      </c>
    </row>
    <row r="13" spans="1:1" x14ac:dyDescent="0.2">
      <c r="A13" s="31" t="s">
        <v>167</v>
      </c>
    </row>
    <row r="14" spans="1:1" x14ac:dyDescent="0.2">
      <c r="A14" s="31" t="s">
        <v>168</v>
      </c>
    </row>
    <row r="16" spans="1:1" x14ac:dyDescent="0.2">
      <c r="A16" s="33" t="s">
        <v>2</v>
      </c>
    </row>
    <row r="17" spans="1:2" x14ac:dyDescent="0.2">
      <c r="A17" s="31" t="s">
        <v>1</v>
      </c>
      <c r="B17" s="31"/>
    </row>
    <row r="18" spans="1:2" x14ac:dyDescent="0.2">
      <c r="A18" s="31" t="s">
        <v>175</v>
      </c>
      <c r="B18" s="31"/>
    </row>
    <row r="19" spans="1:2" x14ac:dyDescent="0.2">
      <c r="A19" s="32">
        <v>0.2</v>
      </c>
      <c r="B19" s="31" t="s">
        <v>32</v>
      </c>
    </row>
    <row r="20" spans="1:2" x14ac:dyDescent="0.2">
      <c r="A20" s="32">
        <v>0.15</v>
      </c>
      <c r="B20" s="31" t="s">
        <v>33</v>
      </c>
    </row>
    <row r="21" spans="1:2" x14ac:dyDescent="0.2">
      <c r="A21" s="32">
        <v>0.1</v>
      </c>
      <c r="B21" s="31" t="s">
        <v>34</v>
      </c>
    </row>
    <row r="22" spans="1:2" x14ac:dyDescent="0.2">
      <c r="A22" s="32">
        <v>0.15</v>
      </c>
      <c r="B22" s="31" t="s">
        <v>35</v>
      </c>
    </row>
    <row r="23" spans="1:2" x14ac:dyDescent="0.2">
      <c r="A23" s="32">
        <v>0</v>
      </c>
      <c r="B23" s="31" t="s">
        <v>12</v>
      </c>
    </row>
    <row r="24" spans="1:2" x14ac:dyDescent="0.2">
      <c r="A24" s="32">
        <v>0.4</v>
      </c>
      <c r="B24" s="31" t="s">
        <v>29</v>
      </c>
    </row>
    <row r="25" spans="1:2" x14ac:dyDescent="0.2">
      <c r="A25" s="32">
        <f>SUM(A19:A24)</f>
        <v>1</v>
      </c>
      <c r="B25" s="31" t="s">
        <v>36</v>
      </c>
    </row>
    <row r="27" spans="1:2" x14ac:dyDescent="0.2">
      <c r="A27" s="33" t="s">
        <v>3</v>
      </c>
    </row>
    <row r="28" spans="1:2" x14ac:dyDescent="0.2">
      <c r="A28" t="s">
        <v>4</v>
      </c>
    </row>
    <row r="29" spans="1:2" x14ac:dyDescent="0.2">
      <c r="A29" t="s">
        <v>5</v>
      </c>
    </row>
    <row r="30" spans="1:2" x14ac:dyDescent="0.2">
      <c r="A30" t="s">
        <v>69</v>
      </c>
    </row>
    <row r="32" spans="1:2" x14ac:dyDescent="0.2">
      <c r="A32" s="44" t="s">
        <v>6</v>
      </c>
    </row>
    <row r="33" spans="1:1" x14ac:dyDescent="0.2">
      <c r="A33" t="s">
        <v>7</v>
      </c>
    </row>
    <row r="34" spans="1:1" x14ac:dyDescent="0.2">
      <c r="A34" t="s">
        <v>8</v>
      </c>
    </row>
    <row r="35" spans="1:1" x14ac:dyDescent="0.2">
      <c r="A35" t="s">
        <v>9</v>
      </c>
    </row>
    <row r="36" spans="1:1" x14ac:dyDescent="0.2">
      <c r="A36" t="s">
        <v>10</v>
      </c>
    </row>
    <row r="38" spans="1:1" x14ac:dyDescent="0.2">
      <c r="A38" s="44" t="s">
        <v>132</v>
      </c>
    </row>
    <row r="39" spans="1:1" x14ac:dyDescent="0.2">
      <c r="A39" s="45" t="s">
        <v>133</v>
      </c>
    </row>
    <row r="40" spans="1:1" x14ac:dyDescent="0.2">
      <c r="A40" t="s">
        <v>79</v>
      </c>
    </row>
    <row r="41" spans="1:1" x14ac:dyDescent="0.2">
      <c r="A41" t="s">
        <v>136</v>
      </c>
    </row>
    <row r="42" spans="1:1" x14ac:dyDescent="0.2">
      <c r="A42" t="s">
        <v>137</v>
      </c>
    </row>
    <row r="43" spans="1:1" x14ac:dyDescent="0.2">
      <c r="A43" t="s">
        <v>138</v>
      </c>
    </row>
    <row r="45" spans="1:1" x14ac:dyDescent="0.2">
      <c r="A45" t="s">
        <v>51</v>
      </c>
    </row>
  </sheetData>
  <hyperlinks>
    <hyperlink ref="A39"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8"/>
  <sheetViews>
    <sheetView tabSelected="1" topLeftCell="A2" workbookViewId="0">
      <selection activeCell="A17" sqref="A17"/>
    </sheetView>
  </sheetViews>
  <sheetFormatPr baseColWidth="10" defaultColWidth="12.5" defaultRowHeight="15" x14ac:dyDescent="0.2"/>
  <cols>
    <col min="1" max="1" width="29.5" customWidth="1"/>
    <col min="2" max="3" width="14.83203125" customWidth="1"/>
    <col min="4" max="4" width="15.83203125" customWidth="1"/>
    <col min="5" max="5" width="8.1640625" customWidth="1"/>
    <col min="6" max="7" width="12.6640625" customWidth="1"/>
    <col min="8" max="8" width="8.1640625" customWidth="1"/>
    <col min="245" max="245" width="50.1640625" customWidth="1"/>
    <col min="246" max="246" width="14.83203125" customWidth="1"/>
    <col min="247" max="247" width="15.83203125" customWidth="1"/>
    <col min="501" max="501" width="50.1640625" customWidth="1"/>
    <col min="502" max="502" width="14.83203125" customWidth="1"/>
    <col min="503" max="503" width="15.83203125" customWidth="1"/>
    <col min="757" max="757" width="50.1640625" customWidth="1"/>
    <col min="758" max="758" width="14.83203125" customWidth="1"/>
    <col min="759" max="759" width="15.83203125" customWidth="1"/>
    <col min="1013" max="1013" width="50.1640625" customWidth="1"/>
    <col min="1014" max="1014" width="14.83203125" customWidth="1"/>
    <col min="1015" max="1015" width="15.83203125" customWidth="1"/>
    <col min="1269" max="1269" width="50.1640625" customWidth="1"/>
    <col min="1270" max="1270" width="14.83203125" customWidth="1"/>
    <col min="1271" max="1271" width="15.83203125" customWidth="1"/>
    <col min="1525" max="1525" width="50.1640625" customWidth="1"/>
    <col min="1526" max="1526" width="14.83203125" customWidth="1"/>
    <col min="1527" max="1527" width="15.83203125" customWidth="1"/>
    <col min="1781" max="1781" width="50.1640625" customWidth="1"/>
    <col min="1782" max="1782" width="14.83203125" customWidth="1"/>
    <col min="1783" max="1783" width="15.83203125" customWidth="1"/>
    <col min="2037" max="2037" width="50.1640625" customWidth="1"/>
    <col min="2038" max="2038" width="14.83203125" customWidth="1"/>
    <col min="2039" max="2039" width="15.83203125" customWidth="1"/>
    <col min="2293" max="2293" width="50.1640625" customWidth="1"/>
    <col min="2294" max="2294" width="14.83203125" customWidth="1"/>
    <col min="2295" max="2295" width="15.83203125" customWidth="1"/>
    <col min="2549" max="2549" width="50.1640625" customWidth="1"/>
    <col min="2550" max="2550" width="14.83203125" customWidth="1"/>
    <col min="2551" max="2551" width="15.83203125" customWidth="1"/>
    <col min="2805" max="2805" width="50.1640625" customWidth="1"/>
    <col min="2806" max="2806" width="14.83203125" customWidth="1"/>
    <col min="2807" max="2807" width="15.83203125" customWidth="1"/>
    <col min="3061" max="3061" width="50.1640625" customWidth="1"/>
    <col min="3062" max="3062" width="14.83203125" customWidth="1"/>
    <col min="3063" max="3063" width="15.83203125" customWidth="1"/>
    <col min="3317" max="3317" width="50.1640625" customWidth="1"/>
    <col min="3318" max="3318" width="14.83203125" customWidth="1"/>
    <col min="3319" max="3319" width="15.83203125" customWidth="1"/>
    <col min="3573" max="3573" width="50.1640625" customWidth="1"/>
    <col min="3574" max="3574" width="14.83203125" customWidth="1"/>
    <col min="3575" max="3575" width="15.83203125" customWidth="1"/>
    <col min="3829" max="3829" width="50.1640625" customWidth="1"/>
    <col min="3830" max="3830" width="14.83203125" customWidth="1"/>
    <col min="3831" max="3831" width="15.83203125" customWidth="1"/>
    <col min="4085" max="4085" width="50.1640625" customWidth="1"/>
    <col min="4086" max="4086" width="14.83203125" customWidth="1"/>
    <col min="4087" max="4087" width="15.83203125" customWidth="1"/>
    <col min="4341" max="4341" width="50.1640625" customWidth="1"/>
    <col min="4342" max="4342" width="14.83203125" customWidth="1"/>
    <col min="4343" max="4343" width="15.83203125" customWidth="1"/>
    <col min="4597" max="4597" width="50.1640625" customWidth="1"/>
    <col min="4598" max="4598" width="14.83203125" customWidth="1"/>
    <col min="4599" max="4599" width="15.83203125" customWidth="1"/>
    <col min="4853" max="4853" width="50.1640625" customWidth="1"/>
    <col min="4854" max="4854" width="14.83203125" customWidth="1"/>
    <col min="4855" max="4855" width="15.83203125" customWidth="1"/>
    <col min="5109" max="5109" width="50.1640625" customWidth="1"/>
    <col min="5110" max="5110" width="14.83203125" customWidth="1"/>
    <col min="5111" max="5111" width="15.83203125" customWidth="1"/>
    <col min="5365" max="5365" width="50.1640625" customWidth="1"/>
    <col min="5366" max="5366" width="14.83203125" customWidth="1"/>
    <col min="5367" max="5367" width="15.83203125" customWidth="1"/>
    <col min="5621" max="5621" width="50.1640625" customWidth="1"/>
    <col min="5622" max="5622" width="14.83203125" customWidth="1"/>
    <col min="5623" max="5623" width="15.83203125" customWidth="1"/>
    <col min="5877" max="5877" width="50.1640625" customWidth="1"/>
    <col min="5878" max="5878" width="14.83203125" customWidth="1"/>
    <col min="5879" max="5879" width="15.83203125" customWidth="1"/>
    <col min="6133" max="6133" width="50.1640625" customWidth="1"/>
    <col min="6134" max="6134" width="14.83203125" customWidth="1"/>
    <col min="6135" max="6135" width="15.83203125" customWidth="1"/>
    <col min="6389" max="6389" width="50.1640625" customWidth="1"/>
    <col min="6390" max="6390" width="14.83203125" customWidth="1"/>
    <col min="6391" max="6391" width="15.83203125" customWidth="1"/>
    <col min="6645" max="6645" width="50.1640625" customWidth="1"/>
    <col min="6646" max="6646" width="14.83203125" customWidth="1"/>
    <col min="6647" max="6647" width="15.83203125" customWidth="1"/>
    <col min="6901" max="6901" width="50.1640625" customWidth="1"/>
    <col min="6902" max="6902" width="14.83203125" customWidth="1"/>
    <col min="6903" max="6903" width="15.83203125" customWidth="1"/>
    <col min="7157" max="7157" width="50.1640625" customWidth="1"/>
    <col min="7158" max="7158" width="14.83203125" customWidth="1"/>
    <col min="7159" max="7159" width="15.83203125" customWidth="1"/>
    <col min="7413" max="7413" width="50.1640625" customWidth="1"/>
    <col min="7414" max="7414" width="14.83203125" customWidth="1"/>
    <col min="7415" max="7415" width="15.83203125" customWidth="1"/>
    <col min="7669" max="7669" width="50.1640625" customWidth="1"/>
    <col min="7670" max="7670" width="14.83203125" customWidth="1"/>
    <col min="7671" max="7671" width="15.83203125" customWidth="1"/>
    <col min="7925" max="7925" width="50.1640625" customWidth="1"/>
    <col min="7926" max="7926" width="14.83203125" customWidth="1"/>
    <col min="7927" max="7927" width="15.83203125" customWidth="1"/>
    <col min="8181" max="8181" width="50.1640625" customWidth="1"/>
    <col min="8182" max="8182" width="14.83203125" customWidth="1"/>
    <col min="8183" max="8183" width="15.83203125" customWidth="1"/>
    <col min="8437" max="8437" width="50.1640625" customWidth="1"/>
    <col min="8438" max="8438" width="14.83203125" customWidth="1"/>
    <col min="8439" max="8439" width="15.83203125" customWidth="1"/>
    <col min="8693" max="8693" width="50.1640625" customWidth="1"/>
    <col min="8694" max="8694" width="14.83203125" customWidth="1"/>
    <col min="8695" max="8695" width="15.83203125" customWidth="1"/>
    <col min="8949" max="8949" width="50.1640625" customWidth="1"/>
    <col min="8950" max="8950" width="14.83203125" customWidth="1"/>
    <col min="8951" max="8951" width="15.83203125" customWidth="1"/>
    <col min="9205" max="9205" width="50.1640625" customWidth="1"/>
    <col min="9206" max="9206" width="14.83203125" customWidth="1"/>
    <col min="9207" max="9207" width="15.83203125" customWidth="1"/>
    <col min="9461" max="9461" width="50.1640625" customWidth="1"/>
    <col min="9462" max="9462" width="14.83203125" customWidth="1"/>
    <col min="9463" max="9463" width="15.83203125" customWidth="1"/>
    <col min="9717" max="9717" width="50.1640625" customWidth="1"/>
    <col min="9718" max="9718" width="14.83203125" customWidth="1"/>
    <col min="9719" max="9719" width="15.83203125" customWidth="1"/>
    <col min="9973" max="9973" width="50.1640625" customWidth="1"/>
    <col min="9974" max="9974" width="14.83203125" customWidth="1"/>
    <col min="9975" max="9975" width="15.83203125" customWidth="1"/>
    <col min="10229" max="10229" width="50.1640625" customWidth="1"/>
    <col min="10230" max="10230" width="14.83203125" customWidth="1"/>
    <col min="10231" max="10231" width="15.83203125" customWidth="1"/>
    <col min="10485" max="10485" width="50.1640625" customWidth="1"/>
    <col min="10486" max="10486" width="14.83203125" customWidth="1"/>
    <col min="10487" max="10487" width="15.83203125" customWidth="1"/>
    <col min="10741" max="10741" width="50.1640625" customWidth="1"/>
    <col min="10742" max="10742" width="14.83203125" customWidth="1"/>
    <col min="10743" max="10743" width="15.83203125" customWidth="1"/>
    <col min="10997" max="10997" width="50.1640625" customWidth="1"/>
    <col min="10998" max="10998" width="14.83203125" customWidth="1"/>
    <col min="10999" max="10999" width="15.83203125" customWidth="1"/>
    <col min="11253" max="11253" width="50.1640625" customWidth="1"/>
    <col min="11254" max="11254" width="14.83203125" customWidth="1"/>
    <col min="11255" max="11255" width="15.83203125" customWidth="1"/>
    <col min="11509" max="11509" width="50.1640625" customWidth="1"/>
    <col min="11510" max="11510" width="14.83203125" customWidth="1"/>
    <col min="11511" max="11511" width="15.83203125" customWidth="1"/>
    <col min="11765" max="11765" width="50.1640625" customWidth="1"/>
    <col min="11766" max="11766" width="14.83203125" customWidth="1"/>
    <col min="11767" max="11767" width="15.83203125" customWidth="1"/>
    <col min="12021" max="12021" width="50.1640625" customWidth="1"/>
    <col min="12022" max="12022" width="14.83203125" customWidth="1"/>
    <col min="12023" max="12023" width="15.83203125" customWidth="1"/>
    <col min="12277" max="12277" width="50.1640625" customWidth="1"/>
    <col min="12278" max="12278" width="14.83203125" customWidth="1"/>
    <col min="12279" max="12279" width="15.83203125" customWidth="1"/>
    <col min="12533" max="12533" width="50.1640625" customWidth="1"/>
    <col min="12534" max="12534" width="14.83203125" customWidth="1"/>
    <col min="12535" max="12535" width="15.83203125" customWidth="1"/>
    <col min="12789" max="12789" width="50.1640625" customWidth="1"/>
    <col min="12790" max="12790" width="14.83203125" customWidth="1"/>
    <col min="12791" max="12791" width="15.83203125" customWidth="1"/>
    <col min="13045" max="13045" width="50.1640625" customWidth="1"/>
    <col min="13046" max="13046" width="14.83203125" customWidth="1"/>
    <col min="13047" max="13047" width="15.83203125" customWidth="1"/>
    <col min="13301" max="13301" width="50.1640625" customWidth="1"/>
    <col min="13302" max="13302" width="14.83203125" customWidth="1"/>
    <col min="13303" max="13303" width="15.83203125" customWidth="1"/>
    <col min="13557" max="13557" width="50.1640625" customWidth="1"/>
    <col min="13558" max="13558" width="14.83203125" customWidth="1"/>
    <col min="13559" max="13559" width="15.83203125" customWidth="1"/>
    <col min="13813" max="13813" width="50.1640625" customWidth="1"/>
    <col min="13814" max="13814" width="14.83203125" customWidth="1"/>
    <col min="13815" max="13815" width="15.83203125" customWidth="1"/>
    <col min="14069" max="14069" width="50.1640625" customWidth="1"/>
    <col min="14070" max="14070" width="14.83203125" customWidth="1"/>
    <col min="14071" max="14071" width="15.83203125" customWidth="1"/>
    <col min="14325" max="14325" width="50.1640625" customWidth="1"/>
    <col min="14326" max="14326" width="14.83203125" customWidth="1"/>
    <col min="14327" max="14327" width="15.83203125" customWidth="1"/>
    <col min="14581" max="14581" width="50.1640625" customWidth="1"/>
    <col min="14582" max="14582" width="14.83203125" customWidth="1"/>
    <col min="14583" max="14583" width="15.83203125" customWidth="1"/>
    <col min="14837" max="14837" width="50.1640625" customWidth="1"/>
    <col min="14838" max="14838" width="14.83203125" customWidth="1"/>
    <col min="14839" max="14839" width="15.83203125" customWidth="1"/>
    <col min="15093" max="15093" width="50.1640625" customWidth="1"/>
    <col min="15094" max="15094" width="14.83203125" customWidth="1"/>
    <col min="15095" max="15095" width="15.83203125" customWidth="1"/>
    <col min="15349" max="15349" width="50.1640625" customWidth="1"/>
    <col min="15350" max="15350" width="14.83203125" customWidth="1"/>
    <col min="15351" max="15351" width="15.83203125" customWidth="1"/>
    <col min="15605" max="15605" width="50.1640625" customWidth="1"/>
    <col min="15606" max="15606" width="14.83203125" customWidth="1"/>
    <col min="15607" max="15607" width="15.83203125" customWidth="1"/>
    <col min="15861" max="15861" width="50.1640625" customWidth="1"/>
    <col min="15862" max="15862" width="14.83203125" customWidth="1"/>
    <col min="15863" max="15863" width="15.83203125" customWidth="1"/>
    <col min="16117" max="16117" width="50.1640625" customWidth="1"/>
    <col min="16118" max="16118" width="14.83203125" customWidth="1"/>
    <col min="16119" max="16119" width="15.83203125" customWidth="1"/>
  </cols>
  <sheetData>
    <row r="1" spans="1:15" x14ac:dyDescent="0.2">
      <c r="A1" s="18" t="s">
        <v>96</v>
      </c>
    </row>
    <row r="3" spans="1:15" x14ac:dyDescent="0.2">
      <c r="A3" s="62" t="s">
        <v>176</v>
      </c>
      <c r="J3" s="76" t="s">
        <v>173</v>
      </c>
      <c r="K3" s="76"/>
      <c r="L3" s="76"/>
      <c r="M3" s="76"/>
      <c r="N3" s="76"/>
      <c r="O3" s="76"/>
    </row>
    <row r="4" spans="1:15" x14ac:dyDescent="0.2">
      <c r="D4" s="2"/>
      <c r="F4" s="2"/>
      <c r="J4" s="76"/>
      <c r="K4" s="76"/>
      <c r="L4" s="76"/>
      <c r="M4" s="76"/>
      <c r="N4" s="76"/>
      <c r="O4" s="76"/>
    </row>
    <row r="5" spans="1:15" ht="48" x14ac:dyDescent="0.2">
      <c r="A5" t="s">
        <v>70</v>
      </c>
      <c r="B5" s="37" t="s">
        <v>71</v>
      </c>
      <c r="C5" s="37" t="s">
        <v>97</v>
      </c>
      <c r="D5" s="37" t="s">
        <v>95</v>
      </c>
      <c r="F5" s="37" t="s">
        <v>140</v>
      </c>
      <c r="G5" s="37" t="s">
        <v>141</v>
      </c>
      <c r="J5" s="76" t="str">
        <f>A5</f>
        <v>Portfolio Strategy</v>
      </c>
      <c r="K5" s="77" t="str">
        <f>B5</f>
        <v>Rebalance at 5% Thresholds</v>
      </c>
      <c r="L5" s="77" t="str">
        <f>C5</f>
        <v>No Rebalancing</v>
      </c>
      <c r="M5" s="77" t="str">
        <f>D5</f>
        <v>Panic and Sell When S&amp;P 500 Falls &gt; 20%</v>
      </c>
      <c r="N5" s="77" t="str">
        <f>F5</f>
        <v>60/40 Allocation</v>
      </c>
      <c r="O5" s="77" t="str">
        <f>G5</f>
        <v>S&amp;P 500 Only</v>
      </c>
    </row>
    <row r="6" spans="1:15" x14ac:dyDescent="0.2">
      <c r="A6" s="9" t="s">
        <v>44</v>
      </c>
      <c r="B6" s="10">
        <f>'Rebalanced Strategy'!I38</f>
        <v>261100.11102298179</v>
      </c>
      <c r="C6" s="10">
        <f>'Non-Rebalanced Strategy'!I38</f>
        <v>253648.27337921938</v>
      </c>
      <c r="D6" s="10">
        <f>'Panic Portfolio'!I38</f>
        <v>240391.22687949173</v>
      </c>
      <c r="E6" s="38"/>
      <c r="F6" s="10">
        <f>'60-40 Portfolio'!I38</f>
        <v>286023.23226604192</v>
      </c>
      <c r="G6" s="10">
        <f>'SP500 Only'!I38</f>
        <v>349941.45196440828</v>
      </c>
      <c r="H6" s="38"/>
      <c r="J6" s="78" t="str">
        <f>A6</f>
        <v>Ending Portfolio Value</v>
      </c>
      <c r="K6" s="79" t="b">
        <f>EXACT(B6,'Rebalanced Strategy'!$I38)</f>
        <v>1</v>
      </c>
      <c r="L6" s="79" t="b">
        <f>EXACT(C6,'Non-Rebalanced Strategy'!$I38)</f>
        <v>1</v>
      </c>
      <c r="M6" s="79" t="b">
        <f>EXACT(D6,'Panic Portfolio'!$I38)</f>
        <v>1</v>
      </c>
      <c r="N6" s="79" t="b">
        <f>EXACT(F6,'60-40 Portfolio'!$I38)</f>
        <v>1</v>
      </c>
      <c r="O6" s="79" t="b">
        <f>EXACT(G6,'SP500 Only'!I38)</f>
        <v>1</v>
      </c>
    </row>
    <row r="7" spans="1:15" x14ac:dyDescent="0.2">
      <c r="A7" s="11" t="s">
        <v>72</v>
      </c>
      <c r="B7" s="39">
        <f>'Rebalanced Strategy'!I39</f>
        <v>1.6110011102298178</v>
      </c>
      <c r="C7" s="39">
        <f>'Non-Rebalanced Strategy'!I39</f>
        <v>1.5364827337921938</v>
      </c>
      <c r="D7" s="39">
        <f>'Panic Portfolio'!I39</f>
        <v>1.4039122687949173</v>
      </c>
      <c r="F7" s="39">
        <f>'60-40 Portfolio'!I39</f>
        <v>1.8602323226604192</v>
      </c>
      <c r="G7" s="39">
        <f>'SP500 Only'!I39</f>
        <v>2.4994145196440827</v>
      </c>
      <c r="J7" s="76" t="str">
        <f t="shared" ref="J7:J12" si="0">A7</f>
        <v>Total Return</v>
      </c>
      <c r="K7" s="79" t="b">
        <f>EXACT(B7,'Rebalanced Strategy'!$I39)</f>
        <v>1</v>
      </c>
      <c r="L7" s="79" t="b">
        <f>EXACT(C7,'Non-Rebalanced Strategy'!$I39)</f>
        <v>1</v>
      </c>
      <c r="M7" s="79" t="b">
        <f>EXACT(D7,'Panic Portfolio'!$I39)</f>
        <v>1</v>
      </c>
      <c r="N7" s="79" t="b">
        <f>EXACT(F7,'60-40 Portfolio'!$I39)</f>
        <v>1</v>
      </c>
      <c r="O7" s="79" t="b">
        <f>EXACT(G7,'SP500 Only'!I39)</f>
        <v>1</v>
      </c>
    </row>
    <row r="8" spans="1:15" x14ac:dyDescent="0.2">
      <c r="A8" s="1" t="s">
        <v>46</v>
      </c>
      <c r="B8" s="39">
        <f>'Rebalanced Strategy'!I40</f>
        <v>0.11777291454754747</v>
      </c>
      <c r="C8" s="39">
        <f>'Non-Rebalanced Strategy'!I40</f>
        <v>0.11433540777193983</v>
      </c>
      <c r="D8" s="39">
        <f>'Panic Portfolio'!I40</f>
        <v>0.11557762038660792</v>
      </c>
      <c r="F8" s="39">
        <f>'60-40 Portfolio'!I40</f>
        <v>0.10754239360435423</v>
      </c>
      <c r="G8" s="39">
        <f>'SP500 Only'!I40</f>
        <v>0.17704522928671912</v>
      </c>
      <c r="J8" s="76" t="str">
        <f t="shared" si="0"/>
        <v>Standard Deviation</v>
      </c>
      <c r="K8" s="79" t="b">
        <f>EXACT(B8,'Rebalanced Strategy'!$I40)</f>
        <v>1</v>
      </c>
      <c r="L8" s="79" t="b">
        <f>EXACT(C8,'Non-Rebalanced Strategy'!$I40)</f>
        <v>1</v>
      </c>
      <c r="M8" s="79" t="b">
        <f>EXACT(D8,'Panic Portfolio'!$I40)</f>
        <v>1</v>
      </c>
      <c r="N8" s="79" t="b">
        <f>EXACT(F8,'60-40 Portfolio'!$I40)</f>
        <v>1</v>
      </c>
      <c r="O8" s="79" t="b">
        <f>EXACT(G8,'SP500 Only'!I40)</f>
        <v>1</v>
      </c>
    </row>
    <row r="9" spans="1:15" x14ac:dyDescent="0.2">
      <c r="A9" s="1" t="s">
        <v>73</v>
      </c>
      <c r="B9" s="39">
        <f>'Rebalanced Strategy'!I41</f>
        <v>7.0956750405714031E-2</v>
      </c>
      <c r="C9" s="39">
        <f>'Non-Rebalanced Strategy'!I41</f>
        <v>6.8744045028487966E-2</v>
      </c>
      <c r="D9" s="39">
        <f>'Panic Portfolio'!I41</f>
        <v>6.4653956631360643E-2</v>
      </c>
      <c r="F9" s="39">
        <f>'60-40 Portfolio'!I41</f>
        <v>7.7953665353902357E-2</v>
      </c>
      <c r="G9" s="39">
        <f>'SP500 Only'!I41</f>
        <v>9.3595749373657E-2</v>
      </c>
      <c r="J9" s="76" t="str">
        <f t="shared" si="0"/>
        <v>Annualized Return</v>
      </c>
      <c r="K9" s="79" t="b">
        <f>EXACT(B9,'Rebalanced Strategy'!$I41)</f>
        <v>1</v>
      </c>
      <c r="L9" s="79" t="b">
        <f>EXACT(C9,'Non-Rebalanced Strategy'!$I41)</f>
        <v>1</v>
      </c>
      <c r="M9" s="79" t="b">
        <f>EXACT(D9,'Panic Portfolio'!$I41)</f>
        <v>1</v>
      </c>
      <c r="N9" s="79" t="b">
        <f>EXACT(F9,'60-40 Portfolio'!$I41)</f>
        <v>1</v>
      </c>
      <c r="O9" s="79" t="b">
        <f>EXACT(G9,'SP500 Only'!I41)</f>
        <v>1</v>
      </c>
    </row>
    <row r="10" spans="1:15" x14ac:dyDescent="0.2">
      <c r="A10" s="1" t="s">
        <v>48</v>
      </c>
      <c r="B10" s="2">
        <f>'Rebalanced Strategy'!I42</f>
        <v>-23585.275559000016</v>
      </c>
      <c r="C10" s="2">
        <f>'Non-Rebalanced Strategy'!I42</f>
        <v>-23585.275559000016</v>
      </c>
      <c r="D10" s="40">
        <f>'Panic Portfolio'!I42</f>
        <v>-23585.275559000016</v>
      </c>
      <c r="F10" s="40">
        <f>'60-40 Portfolio'!I42</f>
        <v>-21403.923840000003</v>
      </c>
      <c r="G10" s="40">
        <f>'SP500 Only'!I42</f>
        <v>-39015.378000000012</v>
      </c>
      <c r="J10" s="76" t="str">
        <f t="shared" si="0"/>
        <v>Largest Drawdown</v>
      </c>
      <c r="K10" s="79" t="b">
        <f>EXACT(B10,'Rebalanced Strategy'!$I42)</f>
        <v>1</v>
      </c>
      <c r="L10" s="79" t="b">
        <f>EXACT(C10,'Non-Rebalanced Strategy'!$I42)</f>
        <v>1</v>
      </c>
      <c r="M10" s="79" t="b">
        <f>EXACT(D10,'Panic Portfolio'!$I42)</f>
        <v>1</v>
      </c>
      <c r="N10" s="79" t="b">
        <f>EXACT(F10,'60-40 Portfolio'!$I42)</f>
        <v>1</v>
      </c>
      <c r="O10" s="79" t="b">
        <f>EXACT(G10,'SP500 Only'!I42)</f>
        <v>1</v>
      </c>
    </row>
    <row r="11" spans="1:15" x14ac:dyDescent="0.2">
      <c r="A11" s="1" t="s">
        <v>74</v>
      </c>
      <c r="B11" s="6">
        <f>'Rebalanced Strategy'!I43</f>
        <v>-0.22002616362721292</v>
      </c>
      <c r="C11" s="6">
        <f>'Non-Rebalanced Strategy'!I43</f>
        <v>-0.22002616362721292</v>
      </c>
      <c r="D11" s="12">
        <f>'Panic Portfolio'!I43</f>
        <v>-0.22002616362721292</v>
      </c>
      <c r="F11" s="12">
        <f>'60-40 Portfolio'!I43</f>
        <v>-0.20192000000000002</v>
      </c>
      <c r="G11" s="12">
        <f>'SP500 Only'!I43</f>
        <v>-0.37020000000000008</v>
      </c>
      <c r="J11" s="76" t="str">
        <f t="shared" si="0"/>
        <v>Largest Annual Loss</v>
      </c>
      <c r="K11" s="79" t="b">
        <f>EXACT(B11,'Rebalanced Strategy'!$I43)</f>
        <v>1</v>
      </c>
      <c r="L11" s="79" t="b">
        <f>EXACT(C11,'Non-Rebalanced Strategy'!$I43)</f>
        <v>1</v>
      </c>
      <c r="M11" s="79" t="b">
        <f>EXACT(D11,'Panic Portfolio'!$I43)</f>
        <v>1</v>
      </c>
      <c r="N11" s="79" t="b">
        <f>EXACT(F11,'60-40 Portfolio'!$I43)</f>
        <v>1</v>
      </c>
      <c r="O11" s="79" t="b">
        <f>EXACT(G11,'SP500 Only'!I43)</f>
        <v>1</v>
      </c>
    </row>
    <row r="12" spans="1:15" x14ac:dyDescent="0.2">
      <c r="A12" s="1" t="s">
        <v>91</v>
      </c>
      <c r="B12" s="6">
        <f>'Rebalanced Strategy'!X38</f>
        <v>0.63634125758629956</v>
      </c>
      <c r="C12" s="6">
        <f>SUM('Non-Rebalanced Strategy'!X38)</f>
        <v>0.65690667784445189</v>
      </c>
      <c r="D12" s="12">
        <f>SUM('Panic Portfolio'!X38)</f>
        <v>0.77423245885036351</v>
      </c>
      <c r="F12" s="12">
        <f>'60-40 Portfolio'!X38</f>
        <v>0.62239943913767415</v>
      </c>
      <c r="G12" s="12">
        <f>'SP500 Only'!X38</f>
        <v>1</v>
      </c>
      <c r="J12" s="76" t="str">
        <f t="shared" si="0"/>
        <v>Ending Equity Allocation</v>
      </c>
      <c r="K12" s="79" t="b">
        <f>EXACT(B12,'Rebalanced Strategy'!$I47)</f>
        <v>1</v>
      </c>
      <c r="L12" s="79" t="b">
        <f>EXACT(C12,'Non-Rebalanced Strategy'!$I47)</f>
        <v>1</v>
      </c>
      <c r="M12" s="79" t="b">
        <f>EXACT(D12,'Panic Portfolio'!$I47)</f>
        <v>1</v>
      </c>
      <c r="N12" s="79" t="b">
        <f>EXACT(F12,'60-40 Portfolio'!$I47)</f>
        <v>1</v>
      </c>
      <c r="O12" s="79" t="b">
        <f>EXACT(G12,'SP500 Only'!I47)</f>
        <v>1</v>
      </c>
    </row>
    <row r="13" spans="1:15" x14ac:dyDescent="0.2">
      <c r="A13" s="1" t="s">
        <v>92</v>
      </c>
      <c r="B13" s="6">
        <f>'Rebalanced Strategy'!V38</f>
        <v>0.36365874241370033</v>
      </c>
      <c r="C13" s="6">
        <f>'Non-Rebalanced Strategy'!V38</f>
        <v>0.34309332215554816</v>
      </c>
      <c r="D13" s="12">
        <f>'Panic Portfolio'!V38</f>
        <v>0.22576754114963646</v>
      </c>
      <c r="F13" s="12">
        <f>'60-40 Portfolio'!V38</f>
        <v>0.3776005608623258</v>
      </c>
      <c r="G13" s="12">
        <f>'SP500 Only'!V38</f>
        <v>0</v>
      </c>
      <c r="J13" s="76" t="str">
        <f>A13</f>
        <v>Ending Fixed-Income Allocation</v>
      </c>
      <c r="K13" s="79" t="b">
        <f>EXACT(B13,'Rebalanced Strategy'!$I48)</f>
        <v>1</v>
      </c>
      <c r="L13" s="79" t="b">
        <f>EXACT(C13,'Non-Rebalanced Strategy'!$I48)</f>
        <v>1</v>
      </c>
      <c r="M13" s="79" t="b">
        <f>EXACT(D13,'Panic Portfolio'!$I48)</f>
        <v>1</v>
      </c>
      <c r="N13" s="79" t="b">
        <f>EXACT(F13,'60-40 Portfolio'!$I48)</f>
        <v>1</v>
      </c>
      <c r="O13" s="79" t="b">
        <f>EXACT(G13,'SP500 Only'!I48)</f>
        <v>1</v>
      </c>
    </row>
    <row r="14" spans="1:15" hidden="1" x14ac:dyDescent="0.2">
      <c r="A14" s="3" t="s">
        <v>93</v>
      </c>
      <c r="B14" s="59">
        <f>SUM(B12:B13)</f>
        <v>0.99999999999999989</v>
      </c>
      <c r="C14" s="59">
        <f>SUM(C12:C13)</f>
        <v>1</v>
      </c>
      <c r="D14" s="59">
        <f>SUM(D12:D13)</f>
        <v>1</v>
      </c>
      <c r="J14" s="76"/>
      <c r="K14" s="76"/>
      <c r="L14" s="76"/>
      <c r="M14" s="76"/>
      <c r="N14" s="76"/>
      <c r="O14" s="76"/>
    </row>
    <row r="15" spans="1:15" x14ac:dyDescent="0.2">
      <c r="B15" s="6"/>
      <c r="C15" s="6"/>
      <c r="J15" s="76"/>
      <c r="K15" s="76"/>
      <c r="L15" s="76"/>
      <c r="M15" s="76"/>
      <c r="N15" s="76"/>
      <c r="O15" s="76"/>
    </row>
    <row r="16" spans="1:15" x14ac:dyDescent="0.2">
      <c r="A16" s="62" t="s">
        <v>177</v>
      </c>
      <c r="J16" s="76" t="s">
        <v>173</v>
      </c>
      <c r="K16" s="76"/>
      <c r="L16" s="76"/>
      <c r="M16" s="76"/>
      <c r="N16" s="76"/>
      <c r="O16" s="76"/>
    </row>
    <row r="17" spans="1:15" x14ac:dyDescent="0.2">
      <c r="J17" s="76"/>
      <c r="K17" s="76"/>
      <c r="L17" s="76"/>
      <c r="M17" s="76"/>
      <c r="N17" s="76"/>
      <c r="O17" s="76"/>
    </row>
    <row r="18" spans="1:15" ht="48" x14ac:dyDescent="0.2">
      <c r="A18" t="s">
        <v>70</v>
      </c>
      <c r="B18" s="37" t="s">
        <v>71</v>
      </c>
      <c r="C18" s="37" t="s">
        <v>97</v>
      </c>
      <c r="D18" s="37" t="s">
        <v>95</v>
      </c>
      <c r="F18" s="37" t="s">
        <v>140</v>
      </c>
      <c r="G18" s="37" t="s">
        <v>141</v>
      </c>
      <c r="J18" s="77" t="str">
        <f>A18</f>
        <v>Portfolio Strategy</v>
      </c>
      <c r="K18" s="77" t="str">
        <f>B18</f>
        <v>Rebalance at 5% Thresholds</v>
      </c>
      <c r="L18" s="77" t="str">
        <f>C18</f>
        <v>No Rebalancing</v>
      </c>
      <c r="M18" s="77" t="str">
        <f>D18</f>
        <v>Panic and Sell When S&amp;P 500 Falls &gt; 20%</v>
      </c>
      <c r="N18" s="77" t="str">
        <f>F18</f>
        <v>60/40 Allocation</v>
      </c>
      <c r="O18" s="77" t="str">
        <f>G18</f>
        <v>S&amp;P 500 Only</v>
      </c>
    </row>
    <row r="19" spans="1:15" x14ac:dyDescent="0.2">
      <c r="A19" s="9" t="s">
        <v>44</v>
      </c>
      <c r="B19" s="10">
        <f>'4.5% Withdrawals-Rebalanced'!I38</f>
        <v>125858.32930487779</v>
      </c>
      <c r="C19" s="10">
        <f>'4.5% Withdrawals-No Rebalancing'!I38</f>
        <v>102145.38616883173</v>
      </c>
      <c r="D19" s="10">
        <f>'4.5% Withdrawals-Panic'!I38</f>
        <v>99582.810963590222</v>
      </c>
      <c r="F19" s="10">
        <f>'4.5% 60-40 Portfolio'!I37</f>
        <v>141699.11217776377</v>
      </c>
      <c r="G19" s="10">
        <f>'4.5% SP500'!I38</f>
        <v>163531.13516720061</v>
      </c>
      <c r="J19" s="78" t="str">
        <f>A19</f>
        <v>Ending Portfolio Value</v>
      </c>
      <c r="K19" s="79" t="b">
        <f>EXACT(B19,'4.5% Withdrawals-Rebalanced'!$I38)</f>
        <v>1</v>
      </c>
      <c r="L19" s="79" t="b">
        <f>EXACT(C19,'4.5% Withdrawals-No Rebalancing'!$I38)</f>
        <v>1</v>
      </c>
      <c r="M19" s="79" t="b">
        <f>EXACT(D19,'4.5% Withdrawals-Panic'!$I38)</f>
        <v>1</v>
      </c>
      <c r="N19" s="79" t="b">
        <f>EXACT(F19,'4.5% 60-40 Portfolio'!$I37)</f>
        <v>1</v>
      </c>
      <c r="O19" s="79" t="b">
        <f>EXACT(G19,'4.5% SP500'!$I38)</f>
        <v>1</v>
      </c>
    </row>
    <row r="20" spans="1:15" x14ac:dyDescent="0.2">
      <c r="A20" s="11" t="s">
        <v>72</v>
      </c>
      <c r="B20" s="39">
        <f>'4.5% Withdrawals-Rebalanced'!I39</f>
        <v>0.25858329304877786</v>
      </c>
      <c r="C20" s="39">
        <f>'4.5% Withdrawals-No Rebalancing'!I39</f>
        <v>2.1453861688317265E-2</v>
      </c>
      <c r="D20" s="39">
        <f>'4.5% Withdrawals-Panic'!I39</f>
        <v>-4.1718903640977807E-3</v>
      </c>
      <c r="F20" s="39">
        <f>'4.5% 60-40 Portfolio'!I38</f>
        <v>0.41699112177763775</v>
      </c>
      <c r="G20" s="39">
        <f>'4.5% SP500'!I39</f>
        <v>0.63531135167200614</v>
      </c>
      <c r="J20" s="76" t="str">
        <f t="shared" ref="J20:J26" si="1">A20</f>
        <v>Total Return</v>
      </c>
      <c r="K20" s="79" t="b">
        <f>EXACT(B20,'4.5% Withdrawals-Rebalanced'!$I39)</f>
        <v>1</v>
      </c>
      <c r="L20" s="79" t="b">
        <f>EXACT(C20,'4.5% Withdrawals-No Rebalancing'!$I39)</f>
        <v>1</v>
      </c>
      <c r="M20" s="79" t="b">
        <f>EXACT(D20,'4.5% Withdrawals-Panic'!$I39)</f>
        <v>1</v>
      </c>
      <c r="N20" s="79" t="b">
        <f>EXACT(F20,'4.5% 60-40 Portfolio'!$I38)</f>
        <v>1</v>
      </c>
      <c r="O20" s="79" t="b">
        <f>EXACT(G20,'4.5% SP500'!$I39)</f>
        <v>1</v>
      </c>
    </row>
    <row r="21" spans="1:15" x14ac:dyDescent="0.2">
      <c r="A21" s="1" t="s">
        <v>46</v>
      </c>
      <c r="B21" s="39">
        <f>'4.5% Withdrawals-Rebalanced'!I40</f>
        <v>0.11245714205704385</v>
      </c>
      <c r="C21" s="39">
        <f>'4.5% Withdrawals-No Rebalancing'!I40</f>
        <v>9.8186873514749584E-2</v>
      </c>
      <c r="D21" s="39">
        <f>'4.5% Withdrawals-Panic'!I40</f>
        <v>0.1052605542336567</v>
      </c>
      <c r="F21" s="39">
        <f>'4.5% 60-40 Portfolio'!I39</f>
        <v>0.1049689932785768</v>
      </c>
      <c r="G21" s="39">
        <f>'4.5% SP500'!I40</f>
        <v>0.17642392132787477</v>
      </c>
      <c r="J21" s="76" t="str">
        <f t="shared" si="1"/>
        <v>Standard Deviation</v>
      </c>
      <c r="K21" s="79" t="b">
        <f>EXACT(B21,'4.5% Withdrawals-Rebalanced'!$I40)</f>
        <v>1</v>
      </c>
      <c r="L21" s="79" t="b">
        <f>EXACT(C21,'4.5% Withdrawals-No Rebalancing'!$I40)</f>
        <v>1</v>
      </c>
      <c r="M21" s="79" t="b">
        <f>EXACT(D21,'4.5% Withdrawals-Panic'!$I40)</f>
        <v>1</v>
      </c>
      <c r="N21" s="79" t="b">
        <f>EXACT(F21,'4.5% 60-40 Portfolio'!$I39)</f>
        <v>1</v>
      </c>
      <c r="O21" s="79" t="b">
        <f>EXACT(G21,'4.5% SP500'!$I40)</f>
        <v>1</v>
      </c>
    </row>
    <row r="22" spans="1:15" x14ac:dyDescent="0.2">
      <c r="A22" s="1" t="s">
        <v>73</v>
      </c>
      <c r="B22" s="39">
        <f>'4.5% Withdrawals-Rebalanced'!I41</f>
        <v>1.6563298015735528E-2</v>
      </c>
      <c r="C22" s="39">
        <f>'4.5% Withdrawals-No Rebalancing'!I41</f>
        <v>1.5173619618200629E-3</v>
      </c>
      <c r="D22" s="39">
        <f>'4.5% Withdrawals-Panic'!I41</f>
        <v>-3.4832406925910941E-4</v>
      </c>
      <c r="F22" s="39">
        <f>'4.5% 60-40 Portfolio'!I40</f>
        <v>2.5207885141838693E-2</v>
      </c>
      <c r="G22" s="39">
        <f>'4.5% SP500'!I41</f>
        <v>3.5755325819613715E-2</v>
      </c>
      <c r="J22" s="76" t="str">
        <f t="shared" si="1"/>
        <v>Annualized Return</v>
      </c>
      <c r="K22" s="79" t="b">
        <f>EXACT(B22,'4.5% Withdrawals-Rebalanced'!$I41)</f>
        <v>1</v>
      </c>
      <c r="L22" s="79" t="b">
        <f>EXACT(C22,'4.5% Withdrawals-No Rebalancing'!$I41)</f>
        <v>1</v>
      </c>
      <c r="M22" s="79" t="b">
        <f>EXACT(D22,'4.5% Withdrawals-Panic'!$I41)</f>
        <v>1</v>
      </c>
      <c r="N22" s="79" t="b">
        <f>EXACT(F22,'4.5% 60-40 Portfolio'!$I40)</f>
        <v>1</v>
      </c>
      <c r="O22" s="79" t="b">
        <f>EXACT(G22,'4.5% SP500'!$I41)</f>
        <v>1</v>
      </c>
    </row>
    <row r="23" spans="1:15" x14ac:dyDescent="0.2">
      <c r="A23" s="1" t="s">
        <v>48</v>
      </c>
      <c r="B23" s="2">
        <f>'4.5% Withdrawals-Rebalanced'!I42</f>
        <v>-26923.604794107494</v>
      </c>
      <c r="C23" s="2">
        <f>'4.5% Withdrawals-No Rebalancing'!I42</f>
        <v>-26923.604794107508</v>
      </c>
      <c r="D23" s="40">
        <f>'4.5% Withdrawals-Panic'!I42</f>
        <v>-26923.604794107494</v>
      </c>
      <c r="F23" s="40">
        <f>'4.5% 60-40 Portfolio'!I41</f>
        <v>-25210.837267200011</v>
      </c>
      <c r="G23" s="40">
        <f>'4.5% SP500'!I42</f>
        <v>-42002.235990000008</v>
      </c>
      <c r="J23" s="76" t="str">
        <f t="shared" si="1"/>
        <v>Largest Drawdown</v>
      </c>
      <c r="K23" s="79" t="b">
        <f>EXACT(B23,'4.5% Withdrawals-Rebalanced'!$I42)</f>
        <v>1</v>
      </c>
      <c r="L23" s="79" t="b">
        <f>EXACT(C23,'4.5% Withdrawals-No Rebalancing'!$I42)</f>
        <v>1</v>
      </c>
      <c r="M23" s="79" t="b">
        <f>EXACT(D23,'4.5% Withdrawals-Panic'!$I42)</f>
        <v>1</v>
      </c>
      <c r="N23" s="79" t="b">
        <f>EXACT(F23,'4.5% 60-40 Portfolio'!$I41)</f>
        <v>1</v>
      </c>
      <c r="O23" s="79" t="b">
        <f>EXACT(G23,'4.5% SP500'!$I42)</f>
        <v>1</v>
      </c>
    </row>
    <row r="24" spans="1:15" x14ac:dyDescent="0.2">
      <c r="A24" s="1" t="s">
        <v>74</v>
      </c>
      <c r="B24" s="6">
        <f>'4.5% Withdrawals-Rebalanced'!I43</f>
        <v>-0.26300451688713372</v>
      </c>
      <c r="C24" s="39">
        <f>'4.5% Withdrawals-No Rebalancing'!I43</f>
        <v>-0.25116931362721284</v>
      </c>
      <c r="D24" s="39">
        <f>'4.5% Withdrawals-Panic'!I43</f>
        <v>-0.26300451688713372</v>
      </c>
      <c r="F24" s="39">
        <f>'4.5% 60-40 Portfolio'!I42</f>
        <v>-0.24904041884816763</v>
      </c>
      <c r="G24" s="39">
        <f>'4.5% SP500'!I43</f>
        <v>-0.41732041884816762</v>
      </c>
      <c r="J24" s="76" t="str">
        <f t="shared" si="1"/>
        <v>Largest Annual Loss</v>
      </c>
      <c r="K24" s="79" t="b">
        <f>EXACT(B24,'4.5% Withdrawals-Rebalanced'!$I43)</f>
        <v>1</v>
      </c>
      <c r="L24" s="79" t="b">
        <f>EXACT(C24,'4.5% Withdrawals-No Rebalancing'!$I43)</f>
        <v>1</v>
      </c>
      <c r="M24" s="79" t="b">
        <f>EXACT(D24,'4.5% Withdrawals-Panic'!$I43)</f>
        <v>1</v>
      </c>
      <c r="N24" s="79" t="b">
        <f>EXACT(F24,'4.5% 60-40 Portfolio'!$I42)</f>
        <v>1</v>
      </c>
      <c r="O24" s="79" t="b">
        <f>EXACT(G24,'4.5% SP500'!$I43)</f>
        <v>1</v>
      </c>
    </row>
    <row r="25" spans="1:15" x14ac:dyDescent="0.2">
      <c r="A25" s="1" t="s">
        <v>77</v>
      </c>
      <c r="B25" s="2">
        <f>'4.5% Withdrawals-Rebalanced'!I44</f>
        <v>74965.920328989669</v>
      </c>
      <c r="C25" s="2">
        <f>'4.5% Withdrawals-No Rebalancing'!I44</f>
        <v>74965.920328989669</v>
      </c>
      <c r="D25" s="40">
        <f>'4.5% Withdrawals-Panic'!I44</f>
        <v>74965.920328989669</v>
      </c>
      <c r="F25" s="40">
        <f>'4.5% 60-40 Portfolio'!I43</f>
        <v>74132.954391292718</v>
      </c>
      <c r="G25" s="40">
        <f>'4.5% SP500'!I44</f>
        <v>73704.949560369976</v>
      </c>
      <c r="J25" s="76" t="str">
        <f t="shared" si="1"/>
        <v>Total Withdrawals</v>
      </c>
      <c r="K25" s="79" t="b">
        <f>EXACT(B25,'4.5% Withdrawals-Rebalanced'!$I44)</f>
        <v>1</v>
      </c>
      <c r="L25" s="79" t="b">
        <f>EXACT(C25,'4.5% Withdrawals-No Rebalancing'!$I44)</f>
        <v>1</v>
      </c>
      <c r="M25" s="79" t="b">
        <f>EXACT(D25,'4.5% Withdrawals-Panic'!$I44)</f>
        <v>1</v>
      </c>
      <c r="N25" s="79" t="b">
        <f>EXACT(F25,'4.5% 60-40 Portfolio'!$I43)</f>
        <v>1</v>
      </c>
      <c r="O25" s="79" t="b">
        <f>EXACT(G25,'4.5% SP500'!$I44)</f>
        <v>1</v>
      </c>
    </row>
    <row r="26" spans="1:15" x14ac:dyDescent="0.2">
      <c r="A26" s="1" t="s">
        <v>91</v>
      </c>
      <c r="B26" s="6">
        <f>'4.5% Withdrawals-Rebalanced'!AP38</f>
        <v>0.61055095995746833</v>
      </c>
      <c r="C26" s="6">
        <f>'4.5% Withdrawals-No Rebalancing'!AP38</f>
        <v>0.47853572857938775</v>
      </c>
      <c r="D26" s="12">
        <f>'4.5% Withdrawals-Panic'!AP38</f>
        <v>0.68674452373649519</v>
      </c>
      <c r="F26" s="12">
        <f>'4.5% 60-40 Portfolio'!AP37</f>
        <v>0.62332133361211717</v>
      </c>
      <c r="G26" s="12">
        <f>'4.5% SP500'!AP38</f>
        <v>1</v>
      </c>
      <c r="J26" s="76" t="str">
        <f t="shared" si="1"/>
        <v>Ending Equity Allocation</v>
      </c>
      <c r="K26" s="79" t="b">
        <f>EXACT(B26,'4.5% Withdrawals-Rebalanced'!$I49)</f>
        <v>1</v>
      </c>
      <c r="L26" s="79" t="b">
        <f>EXACT(C26,'4.5% Withdrawals-No Rebalancing'!$I49)</f>
        <v>1</v>
      </c>
      <c r="M26" s="79" t="b">
        <f>EXACT(D26,'4.5% Withdrawals-Panic'!$I49)</f>
        <v>1</v>
      </c>
      <c r="N26" s="79" t="b">
        <f>EXACT(F26,'4.5% 60-40 Portfolio'!$I48)</f>
        <v>1</v>
      </c>
      <c r="O26" s="79" t="b">
        <f>EXACT(G26,'4.5% SP500'!$I49)</f>
        <v>1</v>
      </c>
    </row>
    <row r="27" spans="1:15" x14ac:dyDescent="0.2">
      <c r="A27" s="1" t="s">
        <v>92</v>
      </c>
      <c r="B27" s="6">
        <f>'4.5% Withdrawals-Rebalanced'!AN38</f>
        <v>0.38944904004253184</v>
      </c>
      <c r="C27" s="6">
        <f>'4.5% Withdrawals-No Rebalancing'!AN38</f>
        <v>0.52146427142061225</v>
      </c>
      <c r="D27" s="12">
        <f>'4.5% Withdrawals-Panic'!AN38</f>
        <v>0.31325547626350492</v>
      </c>
      <c r="F27" s="12">
        <f>'4.5% 60-40 Portfolio'!AN37</f>
        <v>0.37667866638788294</v>
      </c>
      <c r="G27" s="12">
        <f>'4.5% SP500'!AN38</f>
        <v>0</v>
      </c>
      <c r="J27" s="76" t="str">
        <f>A27</f>
        <v>Ending Fixed-Income Allocation</v>
      </c>
      <c r="K27" s="79" t="b">
        <f>EXACT(B27,'4.5% Withdrawals-Rebalanced'!$I50)</f>
        <v>1</v>
      </c>
      <c r="L27" s="79" t="b">
        <f>EXACT(C27,'4.5% Withdrawals-No Rebalancing'!$I50)</f>
        <v>1</v>
      </c>
      <c r="M27" s="79" t="b">
        <f>EXACT(D27,'4.5% Withdrawals-Panic'!$I50)</f>
        <v>1</v>
      </c>
      <c r="N27" s="79" t="b">
        <f>EXACT(F27,'4.5% 60-40 Portfolio'!$I49)</f>
        <v>1</v>
      </c>
      <c r="O27" s="79" t="b">
        <f>EXACT(G27,'4.5% SP500'!$I50)</f>
        <v>1</v>
      </c>
    </row>
    <row r="28" spans="1:15" x14ac:dyDescent="0.2">
      <c r="A28" s="3" t="s">
        <v>93</v>
      </c>
      <c r="B28" s="59">
        <f>SUM(B26:B27)</f>
        <v>1.0000000000000002</v>
      </c>
      <c r="C28" s="59">
        <f>SUM(C26:C27)</f>
        <v>1</v>
      </c>
      <c r="D28" s="59">
        <f>SUM(D26:D27)</f>
        <v>1</v>
      </c>
      <c r="F28" s="59">
        <f>SUM(F26:F27)</f>
        <v>1</v>
      </c>
      <c r="G28" s="59">
        <f>SUM(G26:G27)</f>
        <v>1</v>
      </c>
    </row>
  </sheetData>
  <phoneticPr fontId="10" type="noConversion"/>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48"/>
  <sheetViews>
    <sheetView topLeftCell="G13" workbookViewId="0">
      <selection activeCell="T23" sqref="T23"/>
    </sheetView>
  </sheetViews>
  <sheetFormatPr baseColWidth="10" defaultColWidth="8.83203125" defaultRowHeight="15" x14ac:dyDescent="0.2"/>
  <cols>
    <col min="1" max="1" width="25.5" customWidth="1"/>
    <col min="9" max="9" width="11.6640625" customWidth="1"/>
    <col min="10" max="10" width="10" bestFit="1" customWidth="1"/>
  </cols>
  <sheetData>
    <row r="1" spans="1:17" x14ac:dyDescent="0.2">
      <c r="A1" s="18" t="s">
        <v>17</v>
      </c>
      <c r="J1" s="18" t="s">
        <v>94</v>
      </c>
    </row>
    <row r="2" spans="1:17" x14ac:dyDescent="0.2">
      <c r="A2" s="14"/>
      <c r="B2" s="14" t="s">
        <v>18</v>
      </c>
      <c r="C2" s="14" t="s">
        <v>19</v>
      </c>
      <c r="D2" s="14" t="s">
        <v>20</v>
      </c>
      <c r="E2" s="14" t="s">
        <v>21</v>
      </c>
      <c r="F2" s="14" t="s">
        <v>26</v>
      </c>
      <c r="G2" s="14" t="s">
        <v>28</v>
      </c>
      <c r="H2" s="14" t="s">
        <v>29</v>
      </c>
      <c r="J2" s="16"/>
      <c r="K2" s="16" t="s">
        <v>18</v>
      </c>
      <c r="L2" s="16" t="s">
        <v>19</v>
      </c>
      <c r="M2" s="16" t="s">
        <v>20</v>
      </c>
      <c r="N2" s="16" t="s">
        <v>21</v>
      </c>
      <c r="O2" s="16" t="s">
        <v>26</v>
      </c>
      <c r="P2" s="16" t="s">
        <v>28</v>
      </c>
      <c r="Q2" s="16" t="s">
        <v>29</v>
      </c>
    </row>
    <row r="3" spans="1:17" x14ac:dyDescent="0.2">
      <c r="A3" s="14" t="s">
        <v>16</v>
      </c>
      <c r="B3" s="14" t="s">
        <v>22</v>
      </c>
      <c r="C3" s="14" t="s">
        <v>23</v>
      </c>
      <c r="D3" s="14" t="s">
        <v>24</v>
      </c>
      <c r="E3" s="14" t="s">
        <v>25</v>
      </c>
      <c r="F3" s="14" t="s">
        <v>27</v>
      </c>
      <c r="G3" s="14" t="s">
        <v>30</v>
      </c>
      <c r="H3" s="14" t="s">
        <v>31</v>
      </c>
      <c r="J3" s="16" t="s">
        <v>16</v>
      </c>
      <c r="K3" s="16" t="s">
        <v>22</v>
      </c>
      <c r="L3" s="16" t="s">
        <v>23</v>
      </c>
      <c r="M3" s="16" t="s">
        <v>24</v>
      </c>
      <c r="N3" s="16" t="s">
        <v>25</v>
      </c>
      <c r="O3" s="16" t="s">
        <v>27</v>
      </c>
      <c r="P3" s="16" t="s">
        <v>30</v>
      </c>
      <c r="Q3" s="16" t="s">
        <v>31</v>
      </c>
    </row>
    <row r="4" spans="1:17" x14ac:dyDescent="0.2">
      <c r="A4" s="14">
        <v>2007</v>
      </c>
      <c r="B4" s="14">
        <v>5.39</v>
      </c>
      <c r="C4" s="14"/>
      <c r="D4" s="14">
        <v>6.0209999999999999</v>
      </c>
      <c r="E4" s="14">
        <v>1.1559999999999999</v>
      </c>
      <c r="F4" s="14"/>
      <c r="G4" s="14">
        <v>15.522</v>
      </c>
      <c r="H4" s="14">
        <v>6.92</v>
      </c>
      <c r="J4" s="16">
        <f>A4</f>
        <v>2007</v>
      </c>
      <c r="K4" s="60">
        <f>(B4/100)+1</f>
        <v>1.0539000000000001</v>
      </c>
      <c r="L4" s="16"/>
      <c r="M4" s="60">
        <f t="shared" ref="M4:N11" si="0">(D4/100)+1</f>
        <v>1.0602100000000001</v>
      </c>
      <c r="N4" s="60">
        <f t="shared" si="0"/>
        <v>1.01156</v>
      </c>
      <c r="O4" s="16"/>
      <c r="P4" s="60">
        <f t="shared" ref="P4:Q11" si="1">(G4/100)+1</f>
        <v>1.1552199999999999</v>
      </c>
      <c r="Q4" s="60">
        <f t="shared" si="1"/>
        <v>1.0691999999999999</v>
      </c>
    </row>
    <row r="5" spans="1:17" x14ac:dyDescent="0.2">
      <c r="A5" s="14">
        <v>2008</v>
      </c>
      <c r="B5" s="14">
        <v>-37.020000000000003</v>
      </c>
      <c r="C5" s="14"/>
      <c r="D5" s="14">
        <v>-41.823999999999998</v>
      </c>
      <c r="E5" s="14">
        <v>-36.07</v>
      </c>
      <c r="F5" s="14"/>
      <c r="G5" s="14">
        <v>-44.100999999999999</v>
      </c>
      <c r="H5" s="14">
        <v>5.05</v>
      </c>
      <c r="J5" s="16">
        <f t="shared" ref="J5:J11" si="2">A5</f>
        <v>2008</v>
      </c>
      <c r="K5" s="60">
        <f t="shared" ref="K5:K11" si="3">(B5/100)+1</f>
        <v>0.62979999999999992</v>
      </c>
      <c r="L5" s="16"/>
      <c r="M5" s="60">
        <f t="shared" si="0"/>
        <v>0.58176000000000005</v>
      </c>
      <c r="N5" s="60">
        <f t="shared" si="0"/>
        <v>0.63929999999999998</v>
      </c>
      <c r="O5" s="16"/>
      <c r="P5" s="60">
        <f t="shared" si="1"/>
        <v>0.55898999999999999</v>
      </c>
      <c r="Q5" s="60">
        <f t="shared" si="1"/>
        <v>1.0505</v>
      </c>
    </row>
    <row r="6" spans="1:17" x14ac:dyDescent="0.2">
      <c r="A6" s="14">
        <v>2009</v>
      </c>
      <c r="B6" s="14">
        <v>26.49</v>
      </c>
      <c r="C6" s="14"/>
      <c r="D6" s="14">
        <v>40.218000000000004</v>
      </c>
      <c r="E6" s="14">
        <v>36.118000000000002</v>
      </c>
      <c r="F6" s="14"/>
      <c r="G6" s="14">
        <v>36.726999999999997</v>
      </c>
      <c r="H6" s="14">
        <v>5.93</v>
      </c>
      <c r="J6" s="16">
        <f t="shared" si="2"/>
        <v>2009</v>
      </c>
      <c r="K6" s="60">
        <f t="shared" si="3"/>
        <v>1.2648999999999999</v>
      </c>
      <c r="L6" s="16"/>
      <c r="M6" s="60">
        <f t="shared" si="0"/>
        <v>1.40218</v>
      </c>
      <c r="N6" s="60">
        <f t="shared" si="0"/>
        <v>1.3611800000000001</v>
      </c>
      <c r="O6" s="16"/>
      <c r="P6" s="60">
        <f t="shared" si="1"/>
        <v>1.36727</v>
      </c>
      <c r="Q6" s="60">
        <f t="shared" si="1"/>
        <v>1.0592999999999999</v>
      </c>
    </row>
    <row r="7" spans="1:17" x14ac:dyDescent="0.2">
      <c r="A7" s="14">
        <v>2010</v>
      </c>
      <c r="B7" s="14">
        <v>14.91</v>
      </c>
      <c r="C7" s="14"/>
      <c r="D7" s="14">
        <v>25.46</v>
      </c>
      <c r="E7" s="14">
        <v>27.72</v>
      </c>
      <c r="F7" s="14"/>
      <c r="G7" s="14">
        <v>11.12</v>
      </c>
      <c r="H7" s="14">
        <v>6.42</v>
      </c>
      <c r="J7" s="16">
        <f t="shared" si="2"/>
        <v>2010</v>
      </c>
      <c r="K7" s="60">
        <f t="shared" si="3"/>
        <v>1.1491</v>
      </c>
      <c r="L7" s="16"/>
      <c r="M7" s="60">
        <f t="shared" si="0"/>
        <v>1.2545999999999999</v>
      </c>
      <c r="N7" s="60">
        <f t="shared" si="0"/>
        <v>1.2772000000000001</v>
      </c>
      <c r="O7" s="16"/>
      <c r="P7" s="60">
        <f t="shared" si="1"/>
        <v>1.1112</v>
      </c>
      <c r="Q7" s="60">
        <f t="shared" si="1"/>
        <v>1.0642</v>
      </c>
    </row>
    <row r="8" spans="1:17" x14ac:dyDescent="0.2">
      <c r="A8" s="14">
        <v>2011</v>
      </c>
      <c r="B8" s="14">
        <v>1.97</v>
      </c>
      <c r="C8" s="14"/>
      <c r="D8" s="14">
        <v>-2.11</v>
      </c>
      <c r="E8" s="15">
        <v>-2.8</v>
      </c>
      <c r="F8" s="14"/>
      <c r="G8" s="14">
        <v>-14.56</v>
      </c>
      <c r="H8" s="14">
        <v>7.56</v>
      </c>
      <c r="J8" s="16">
        <f t="shared" si="2"/>
        <v>2011</v>
      </c>
      <c r="K8" s="60">
        <f t="shared" si="3"/>
        <v>1.0197000000000001</v>
      </c>
      <c r="L8" s="16"/>
      <c r="M8" s="60">
        <f t="shared" si="0"/>
        <v>0.97889999999999999</v>
      </c>
      <c r="N8" s="60">
        <f t="shared" si="0"/>
        <v>0.97199999999999998</v>
      </c>
      <c r="O8" s="16"/>
      <c r="P8" s="60">
        <f t="shared" si="1"/>
        <v>0.85440000000000005</v>
      </c>
      <c r="Q8" s="60">
        <f t="shared" si="1"/>
        <v>1.0756000000000001</v>
      </c>
    </row>
    <row r="9" spans="1:17" x14ac:dyDescent="0.2">
      <c r="A9" s="14">
        <v>2012</v>
      </c>
      <c r="B9" s="15">
        <v>15.82</v>
      </c>
      <c r="C9" s="15"/>
      <c r="D9" s="15">
        <v>15.8</v>
      </c>
      <c r="E9" s="15">
        <v>18.04</v>
      </c>
      <c r="F9" s="15"/>
      <c r="G9" s="15">
        <v>18.14</v>
      </c>
      <c r="H9" s="15">
        <v>4.05</v>
      </c>
      <c r="J9" s="16">
        <f t="shared" si="2"/>
        <v>2012</v>
      </c>
      <c r="K9" s="60">
        <f t="shared" si="3"/>
        <v>1.1581999999999999</v>
      </c>
      <c r="L9" s="16"/>
      <c r="M9" s="60">
        <f t="shared" si="0"/>
        <v>1.1579999999999999</v>
      </c>
      <c r="N9" s="60">
        <f t="shared" si="0"/>
        <v>1.1804000000000001</v>
      </c>
      <c r="O9" s="16"/>
      <c r="P9" s="60">
        <f t="shared" si="1"/>
        <v>1.1814</v>
      </c>
      <c r="Q9" s="60">
        <f t="shared" si="1"/>
        <v>1.0405</v>
      </c>
    </row>
    <row r="10" spans="1:17" x14ac:dyDescent="0.2">
      <c r="A10" s="14">
        <v>2013</v>
      </c>
      <c r="B10" s="15">
        <v>32.18</v>
      </c>
      <c r="C10" s="15"/>
      <c r="D10" s="15">
        <v>35</v>
      </c>
      <c r="E10" s="15">
        <v>37.619999999999997</v>
      </c>
      <c r="F10" s="15"/>
      <c r="G10" s="15">
        <v>15.04</v>
      </c>
      <c r="H10" s="15">
        <v>-2.2599999999999998</v>
      </c>
      <c r="J10" s="16">
        <f t="shared" ref="J10" si="4">A10</f>
        <v>2013</v>
      </c>
      <c r="K10" s="60">
        <f t="shared" ref="K10" si="5">(B10/100)+1</f>
        <v>1.3218000000000001</v>
      </c>
      <c r="L10" s="16"/>
      <c r="M10" s="60">
        <f t="shared" ref="M10" si="6">(D10/100)+1</f>
        <v>1.35</v>
      </c>
      <c r="N10" s="60">
        <f t="shared" ref="N10" si="7">(E10/100)+1</f>
        <v>1.3761999999999999</v>
      </c>
      <c r="O10" s="16"/>
      <c r="P10" s="60">
        <f t="shared" ref="P10" si="8">(G10/100)+1</f>
        <v>1.1503999999999999</v>
      </c>
      <c r="Q10" s="60">
        <f t="shared" ref="Q10" si="9">(H10/100)+1</f>
        <v>0.97740000000000005</v>
      </c>
    </row>
    <row r="11" spans="1:17" x14ac:dyDescent="0.2">
      <c r="A11" s="14">
        <v>2014</v>
      </c>
      <c r="B11" s="15">
        <v>13.51</v>
      </c>
      <c r="C11" s="15"/>
      <c r="D11" s="15">
        <v>13.6</v>
      </c>
      <c r="E11" s="15">
        <v>7.37</v>
      </c>
      <c r="F11" s="15"/>
      <c r="G11" s="15">
        <v>-4.24</v>
      </c>
      <c r="H11" s="15">
        <v>5.76</v>
      </c>
      <c r="J11" s="16">
        <f t="shared" si="2"/>
        <v>2014</v>
      </c>
      <c r="K11" s="60">
        <f t="shared" si="3"/>
        <v>1.1351</v>
      </c>
      <c r="L11" s="16"/>
      <c r="M11" s="60">
        <f t="shared" si="0"/>
        <v>1.1360000000000001</v>
      </c>
      <c r="N11" s="60">
        <f t="shared" si="0"/>
        <v>1.0737000000000001</v>
      </c>
      <c r="O11" s="16"/>
      <c r="P11" s="60">
        <f t="shared" si="1"/>
        <v>0.95760000000000001</v>
      </c>
      <c r="Q11" s="60">
        <f t="shared" si="1"/>
        <v>1.0576000000000001</v>
      </c>
    </row>
    <row r="12" spans="1:17" x14ac:dyDescent="0.2">
      <c r="A12" s="14">
        <v>2015</v>
      </c>
      <c r="B12" s="15">
        <v>1.25</v>
      </c>
      <c r="C12" s="15"/>
      <c r="D12" s="15">
        <v>-1.46</v>
      </c>
      <c r="E12" s="15">
        <v>-3.78</v>
      </c>
      <c r="F12" s="15"/>
      <c r="G12" s="15">
        <v>-4.37</v>
      </c>
      <c r="H12" s="15">
        <v>0.3</v>
      </c>
      <c r="J12" s="16">
        <f t="shared" ref="J12" si="10">A12</f>
        <v>2015</v>
      </c>
      <c r="K12" s="60">
        <f t="shared" ref="K12" si="11">(B12/100)+1</f>
        <v>1.0125</v>
      </c>
      <c r="L12" s="16"/>
      <c r="M12" s="60">
        <f t="shared" ref="M12" si="12">(D12/100)+1</f>
        <v>0.98540000000000005</v>
      </c>
      <c r="N12" s="60">
        <f t="shared" ref="N12" si="13">(E12/100)+1</f>
        <v>0.96219999999999994</v>
      </c>
      <c r="O12" s="16"/>
      <c r="P12" s="60">
        <f t="shared" ref="P12" si="14">(G12/100)+1</f>
        <v>0.95630000000000004</v>
      </c>
      <c r="Q12" s="60">
        <f t="shared" ref="Q12" si="15">(H12/100)+1</f>
        <v>1.0029999999999999</v>
      </c>
    </row>
    <row r="13" spans="1:17" x14ac:dyDescent="0.2">
      <c r="A13" s="14">
        <v>2016</v>
      </c>
      <c r="B13" s="15">
        <v>11.82</v>
      </c>
      <c r="C13" s="15"/>
      <c r="D13" s="15">
        <v>11.07</v>
      </c>
      <c r="E13" s="15">
        <v>18.170000000000002</v>
      </c>
      <c r="F13" s="15"/>
      <c r="G13" s="15">
        <v>4.6500000000000004</v>
      </c>
      <c r="H13" s="15">
        <v>2.5</v>
      </c>
      <c r="J13" s="16">
        <f t="shared" ref="J13:J14" si="16">A13</f>
        <v>2016</v>
      </c>
      <c r="K13" s="60">
        <f t="shared" ref="K13:K14" si="17">(B13/100)+1</f>
        <v>1.1182000000000001</v>
      </c>
      <c r="L13" s="16"/>
      <c r="M13" s="60">
        <f t="shared" ref="M13:M14" si="18">(D13/100)+1</f>
        <v>1.1107</v>
      </c>
      <c r="N13" s="60">
        <f t="shared" ref="N13:N14" si="19">(E13/100)+1</f>
        <v>1.1817</v>
      </c>
      <c r="O13" s="16"/>
      <c r="P13" s="60">
        <f t="shared" ref="P13:P14" si="20">(G13/100)+1</f>
        <v>1.0465</v>
      </c>
      <c r="Q13" s="60">
        <f t="shared" ref="Q13:Q14" si="21">(H13/100)+1</f>
        <v>1.0249999999999999</v>
      </c>
    </row>
    <row r="14" spans="1:17" x14ac:dyDescent="0.2">
      <c r="A14" s="14">
        <v>2017</v>
      </c>
      <c r="B14" s="15">
        <v>21.67</v>
      </c>
      <c r="C14" s="15"/>
      <c r="D14" s="15">
        <v>19.600000000000001</v>
      </c>
      <c r="E14" s="15">
        <v>16.100000000000001</v>
      </c>
      <c r="F14" s="15"/>
      <c r="G14" s="15">
        <v>27.4</v>
      </c>
      <c r="H14" s="15">
        <v>3.46</v>
      </c>
      <c r="J14" s="16">
        <f t="shared" si="16"/>
        <v>2017</v>
      </c>
      <c r="K14" s="60">
        <f t="shared" si="17"/>
        <v>1.2166999999999999</v>
      </c>
      <c r="L14" s="16"/>
      <c r="M14" s="60">
        <f t="shared" si="18"/>
        <v>1.196</v>
      </c>
      <c r="N14" s="60">
        <f t="shared" si="19"/>
        <v>1.161</v>
      </c>
      <c r="O14" s="16"/>
      <c r="P14" s="60">
        <f t="shared" si="20"/>
        <v>1.274</v>
      </c>
      <c r="Q14" s="60">
        <f t="shared" si="21"/>
        <v>1.0346</v>
      </c>
    </row>
    <row r="15" spans="1:17" x14ac:dyDescent="0.2">
      <c r="A15" s="14">
        <v>2018</v>
      </c>
      <c r="B15" s="15">
        <v>-4.5</v>
      </c>
      <c r="C15" s="15"/>
      <c r="D15" s="15">
        <v>-9.3000000000000007</v>
      </c>
      <c r="E15" s="15">
        <v>-9.4</v>
      </c>
      <c r="F15" s="15"/>
      <c r="G15" s="15">
        <v>-14.5</v>
      </c>
      <c r="H15" s="15">
        <v>-0.1</v>
      </c>
      <c r="J15" s="16">
        <f t="shared" ref="J15" si="22">A15</f>
        <v>2018</v>
      </c>
      <c r="K15" s="60">
        <f t="shared" ref="K15" si="23">(B15/100)+1</f>
        <v>0.95499999999999996</v>
      </c>
      <c r="L15" s="16"/>
      <c r="M15" s="60">
        <f t="shared" ref="M15" si="24">(D15/100)+1</f>
        <v>0.90700000000000003</v>
      </c>
      <c r="N15" s="60">
        <f t="shared" ref="N15" si="25">(E15/100)+1</f>
        <v>0.90600000000000003</v>
      </c>
      <c r="O15" s="16"/>
      <c r="P15" s="60">
        <f t="shared" ref="P15" si="26">(G15/100)+1</f>
        <v>0.85499999999999998</v>
      </c>
      <c r="Q15" s="60">
        <f t="shared" ref="Q15" si="27">(H15/100)+1</f>
        <v>0.999</v>
      </c>
    </row>
    <row r="16" spans="1:17" x14ac:dyDescent="0.2">
      <c r="A16" s="14">
        <v>2019</v>
      </c>
      <c r="B16" s="15">
        <v>31.456</v>
      </c>
      <c r="C16" s="15"/>
      <c r="D16" s="15">
        <v>31.031600000000001</v>
      </c>
      <c r="E16" s="15">
        <v>27.3674</v>
      </c>
      <c r="F16" s="15"/>
      <c r="G16" s="15">
        <v>21.507999999999999</v>
      </c>
      <c r="H16" s="15">
        <v>8.7140000000000004</v>
      </c>
      <c r="J16" s="16">
        <f t="shared" ref="J16" si="28">A16</f>
        <v>2019</v>
      </c>
      <c r="K16" s="60">
        <f t="shared" ref="K16" si="29">(B16/100)+1</f>
        <v>1.31456</v>
      </c>
      <c r="L16" s="16"/>
      <c r="M16" s="60">
        <f t="shared" ref="M16" si="30">(D16/100)+1</f>
        <v>1.310316</v>
      </c>
      <c r="N16" s="60">
        <f t="shared" ref="N16" si="31">(E16/100)+1</f>
        <v>1.273674</v>
      </c>
      <c r="O16" s="16"/>
      <c r="P16" s="60">
        <f t="shared" ref="P16" si="32">(G16/100)+1</f>
        <v>1.2150799999999999</v>
      </c>
      <c r="Q16" s="60">
        <f t="shared" ref="Q16" si="33">(H16/100)+1</f>
        <v>1.08714</v>
      </c>
    </row>
    <row r="17" spans="1:25" x14ac:dyDescent="0.2">
      <c r="A17" s="14">
        <v>2020</v>
      </c>
      <c r="B17" s="15">
        <v>18.37</v>
      </c>
      <c r="C17" s="15"/>
      <c r="D17" s="15">
        <v>18.239999999999998</v>
      </c>
      <c r="E17" s="15">
        <v>19.11</v>
      </c>
      <c r="F17" s="15"/>
      <c r="G17" s="15">
        <v>11.28</v>
      </c>
      <c r="H17" s="15">
        <v>7.72</v>
      </c>
      <c r="J17" s="16">
        <f t="shared" ref="J17" si="34">A17</f>
        <v>2020</v>
      </c>
      <c r="K17" s="60">
        <f t="shared" ref="K17" si="35">(B17/100)+1</f>
        <v>1.1837</v>
      </c>
      <c r="L17" s="16"/>
      <c r="M17" s="60">
        <f t="shared" ref="M17" si="36">(D17/100)+1</f>
        <v>1.1823999999999999</v>
      </c>
      <c r="N17" s="60">
        <f t="shared" ref="N17" si="37">(E17/100)+1</f>
        <v>1.1911</v>
      </c>
      <c r="O17" s="16"/>
      <c r="P17" s="60">
        <f t="shared" ref="P17" si="38">(G17/100)+1</f>
        <v>1.1128</v>
      </c>
      <c r="Q17" s="60">
        <f t="shared" ref="Q17" si="39">(H17/100)+1</f>
        <v>1.0771999999999999</v>
      </c>
    </row>
    <row r="18" spans="1:25" x14ac:dyDescent="0.2">
      <c r="J18" s="61" t="s">
        <v>46</v>
      </c>
      <c r="K18" s="60">
        <f>STDEV(K4:K17)</f>
        <v>0.17704522928671912</v>
      </c>
      <c r="L18" s="60"/>
      <c r="M18" s="60">
        <f>STDEV(M4:M17)</f>
        <v>0.21025176407810722</v>
      </c>
      <c r="N18" s="60">
        <f>STDEV(N4:N17)</f>
        <v>0.20057468667416606</v>
      </c>
      <c r="O18" s="60"/>
      <c r="P18" s="60">
        <f>STDEV(P4:P17)</f>
        <v>0.20722316212450487</v>
      </c>
      <c r="Q18" s="60">
        <f>STDEV(Q4:Q17)</f>
        <v>3.2896253569382326E-2</v>
      </c>
    </row>
    <row r="20" spans="1:25" x14ac:dyDescent="0.2">
      <c r="A20" s="18" t="s">
        <v>98</v>
      </c>
      <c r="O20" s="18" t="s">
        <v>112</v>
      </c>
    </row>
    <row r="21" spans="1:25" x14ac:dyDescent="0.2">
      <c r="B21" s="4" t="str">
        <f t="shared" ref="B21:H22" si="40">B2</f>
        <v>LC Stocks</v>
      </c>
      <c r="C21" s="4" t="str">
        <f t="shared" si="40"/>
        <v>Ext Mkt</v>
      </c>
      <c r="D21" s="4" t="str">
        <f t="shared" si="40"/>
        <v>Mcap Stk</v>
      </c>
      <c r="E21" s="4" t="str">
        <f t="shared" si="40"/>
        <v>Small Cap</v>
      </c>
      <c r="F21" s="4" t="str">
        <f t="shared" si="40"/>
        <v>Intl Val</v>
      </c>
      <c r="G21" s="4" t="str">
        <f t="shared" si="40"/>
        <v>Tot Int Stk</v>
      </c>
      <c r="H21" s="4" t="str">
        <f t="shared" si="40"/>
        <v>Bonds</v>
      </c>
      <c r="I21" s="5"/>
      <c r="J21" s="5" t="s">
        <v>42</v>
      </c>
      <c r="K21" s="5" t="s">
        <v>39</v>
      </c>
      <c r="L21" s="5" t="s">
        <v>40</v>
      </c>
      <c r="P21" s="4" t="str">
        <f>B21</f>
        <v>LC Stocks</v>
      </c>
      <c r="Q21" s="4" t="str">
        <f t="shared" ref="Q21:V22" si="41">C21</f>
        <v>Ext Mkt</v>
      </c>
      <c r="R21" s="4" t="str">
        <f t="shared" si="41"/>
        <v>Mcap Stk</v>
      </c>
      <c r="S21" s="4" t="str">
        <f t="shared" si="41"/>
        <v>Small Cap</v>
      </c>
      <c r="T21" s="4" t="str">
        <f t="shared" si="41"/>
        <v>Intl Val</v>
      </c>
      <c r="U21" s="4" t="str">
        <f t="shared" si="41"/>
        <v>Tot Int Stk</v>
      </c>
      <c r="V21" s="4" t="str">
        <f t="shared" si="41"/>
        <v>Bonds</v>
      </c>
      <c r="W21" s="5"/>
      <c r="X21" s="5" t="s">
        <v>171</v>
      </c>
      <c r="Y21" s="3" t="s">
        <v>172</v>
      </c>
    </row>
    <row r="22" spans="1:25" x14ac:dyDescent="0.2">
      <c r="A22" t="s">
        <v>38</v>
      </c>
      <c r="B22" s="4" t="str">
        <f t="shared" si="40"/>
        <v>VFINX</v>
      </c>
      <c r="C22" s="4" t="str">
        <f t="shared" si="40"/>
        <v>VEXMX</v>
      </c>
      <c r="D22" s="4" t="str">
        <f t="shared" si="40"/>
        <v>VIMSX</v>
      </c>
      <c r="E22" s="4" t="str">
        <f t="shared" si="40"/>
        <v>NAESX</v>
      </c>
      <c r="F22" s="4" t="str">
        <f t="shared" si="40"/>
        <v>VTRIX</v>
      </c>
      <c r="G22" s="4" t="str">
        <f t="shared" si="40"/>
        <v>VGTSX</v>
      </c>
      <c r="H22" s="4" t="str">
        <f t="shared" si="40"/>
        <v>VBMFX</v>
      </c>
      <c r="I22" s="5" t="s">
        <v>36</v>
      </c>
      <c r="J22" s="5" t="s">
        <v>43</v>
      </c>
      <c r="K22" s="5" t="s">
        <v>41</v>
      </c>
      <c r="L22" s="5" t="s">
        <v>41</v>
      </c>
      <c r="O22" t="s">
        <v>38</v>
      </c>
      <c r="P22" s="4" t="str">
        <f>B22</f>
        <v>VFINX</v>
      </c>
      <c r="Q22" s="4" t="str">
        <f t="shared" si="41"/>
        <v>VEXMX</v>
      </c>
      <c r="R22" s="4" t="str">
        <f t="shared" si="41"/>
        <v>VIMSX</v>
      </c>
      <c r="S22" s="4" t="str">
        <f t="shared" si="41"/>
        <v>NAESX</v>
      </c>
      <c r="T22" s="4" t="str">
        <f t="shared" si="41"/>
        <v>VTRIX</v>
      </c>
      <c r="U22" s="4" t="str">
        <f t="shared" si="41"/>
        <v>VGTSX</v>
      </c>
      <c r="V22" s="4" t="str">
        <f t="shared" si="41"/>
        <v>VBMFX</v>
      </c>
      <c r="W22" s="5" t="s">
        <v>36</v>
      </c>
      <c r="X22" s="5" t="s">
        <v>172</v>
      </c>
      <c r="Y22" s="3" t="s">
        <v>53</v>
      </c>
    </row>
    <row r="23" spans="1:25" x14ac:dyDescent="0.2">
      <c r="A23" t="s">
        <v>37</v>
      </c>
      <c r="B23" s="27">
        <v>20000</v>
      </c>
      <c r="C23" s="54"/>
      <c r="D23" s="27">
        <v>15000</v>
      </c>
      <c r="E23" s="27">
        <v>10000</v>
      </c>
      <c r="F23" s="54"/>
      <c r="G23" s="27">
        <v>15000</v>
      </c>
      <c r="H23" s="27">
        <v>40000</v>
      </c>
      <c r="I23" s="2">
        <f>SUM(B23:H23)</f>
        <v>100000</v>
      </c>
      <c r="O23" s="19" t="s">
        <v>52</v>
      </c>
      <c r="P23" s="20">
        <f>B23/$I23</f>
        <v>0.2</v>
      </c>
      <c r="Q23" s="20"/>
      <c r="R23" s="21">
        <v>0.2</v>
      </c>
      <c r="S23" s="21">
        <v>0.1</v>
      </c>
      <c r="T23" s="20"/>
      <c r="U23" s="21">
        <v>0.2</v>
      </c>
      <c r="V23" s="20">
        <f>H23/$I23</f>
        <v>0.4</v>
      </c>
      <c r="W23" s="20">
        <f>I23/$I23</f>
        <v>1</v>
      </c>
      <c r="X23" s="22"/>
    </row>
    <row r="24" spans="1:25" x14ac:dyDescent="0.2">
      <c r="A24">
        <f t="shared" ref="A24:A37" si="42">A4</f>
        <v>2007</v>
      </c>
      <c r="B24" s="2">
        <f>B$23*(1+(B4/100))</f>
        <v>21078</v>
      </c>
      <c r="C24" s="2"/>
      <c r="D24" s="2">
        <f>D$23*(1+(D4/100))</f>
        <v>15903.150000000001</v>
      </c>
      <c r="E24" s="2">
        <f>E$23*(1+(E4/100))</f>
        <v>10115.6</v>
      </c>
      <c r="F24" s="2"/>
      <c r="G24" s="2">
        <f>G$23*(1+(G4/100))</f>
        <v>17328.3</v>
      </c>
      <c r="H24" s="2">
        <f>H$23*(1+(H4/100))</f>
        <v>42768</v>
      </c>
      <c r="I24" s="2">
        <f t="shared" ref="I24:I26" si="43">SUM(B24:H24)</f>
        <v>107193.05</v>
      </c>
      <c r="J24" s="2">
        <f t="shared" ref="J24" si="44">I24-I23</f>
        <v>7193.0500000000029</v>
      </c>
      <c r="K24" s="6">
        <f t="shared" ref="K24" si="45">(J24/I23)</f>
        <v>7.1930500000000022E-2</v>
      </c>
      <c r="L24" s="7">
        <f t="shared" ref="L24" si="46">K24+1</f>
        <v>1.0719305000000001</v>
      </c>
      <c r="O24">
        <f t="shared" ref="O24:O29" si="47">A24</f>
        <v>2007</v>
      </c>
      <c r="P24" s="6">
        <f t="shared" ref="P24:P29" si="48">B24/$I24</f>
        <v>0.19663588264351092</v>
      </c>
      <c r="Q24" s="6"/>
      <c r="R24" s="6">
        <f t="shared" ref="R24" si="49">D24/$I24</f>
        <v>0.14835989833296095</v>
      </c>
      <c r="S24" s="6">
        <f t="shared" ref="S24" si="50">E24/$I24</f>
        <v>9.4368058376919028E-2</v>
      </c>
      <c r="T24" s="6"/>
      <c r="U24" s="6">
        <f t="shared" ref="U24:U29" si="51">G24/$I24</f>
        <v>0.16165506998821286</v>
      </c>
      <c r="V24" s="6">
        <f t="shared" ref="V24:V29" si="52">H24/$I24</f>
        <v>0.39898109065839621</v>
      </c>
      <c r="W24" s="20">
        <f>SUM(P24:V24)</f>
        <v>1</v>
      </c>
      <c r="X24" s="7">
        <f>SUM(P24:U24)</f>
        <v>0.60101890934160374</v>
      </c>
      <c r="Y24" s="7">
        <f>W24-(X24+V24)</f>
        <v>0</v>
      </c>
    </row>
    <row r="25" spans="1:25" x14ac:dyDescent="0.2">
      <c r="A25">
        <f t="shared" si="42"/>
        <v>2008</v>
      </c>
      <c r="B25" s="2">
        <f t="shared" ref="B25:B37" si="53">B24*(1+(B5/100))</f>
        <v>13274.924399999998</v>
      </c>
      <c r="C25" s="2"/>
      <c r="D25" s="2">
        <f t="shared" ref="D25:D33" si="54">D24*(1+(D5/100))</f>
        <v>9251.8165440000012</v>
      </c>
      <c r="E25" s="2">
        <f t="shared" ref="E25:E33" si="55">E24*(1+(E5/100))</f>
        <v>6466.90308</v>
      </c>
      <c r="F25" s="2"/>
      <c r="G25" s="2">
        <f t="shared" ref="G25:G33" si="56">G24*(1+(G5/100))</f>
        <v>9686.3464169999988</v>
      </c>
      <c r="H25" s="2">
        <f t="shared" ref="H25:H33" si="57">H24*(1+(H5/100))</f>
        <v>44927.784</v>
      </c>
      <c r="I25" s="2">
        <f t="shared" si="43"/>
        <v>83607.774440999987</v>
      </c>
      <c r="J25" s="2">
        <f t="shared" ref="J25:J28" si="58">I25-I24</f>
        <v>-23585.275559000016</v>
      </c>
      <c r="K25" s="6">
        <f t="shared" ref="K25:K26" si="59">(J25/I24)</f>
        <v>-0.22002616362721292</v>
      </c>
      <c r="L25" s="7">
        <f t="shared" ref="L25:L28" si="60">K25+1</f>
        <v>0.77997383637278705</v>
      </c>
      <c r="O25">
        <f t="shared" si="47"/>
        <v>2008</v>
      </c>
      <c r="P25" s="6">
        <f t="shared" si="48"/>
        <v>0.15877619621806577</v>
      </c>
      <c r="Q25" s="6"/>
      <c r="R25" s="6">
        <f t="shared" ref="R25:R29" si="61">D25/$I25</f>
        <v>0.11065737134922528</v>
      </c>
      <c r="S25" s="6">
        <f t="shared" ref="S25:S29" si="62">E25/$I25</f>
        <v>7.7348106958205654E-2</v>
      </c>
      <c r="T25" s="6"/>
      <c r="U25" s="6">
        <f t="shared" si="51"/>
        <v>0.11585461378158586</v>
      </c>
      <c r="V25" s="6">
        <f t="shared" si="52"/>
        <v>0.53736371169291752</v>
      </c>
      <c r="W25" s="20">
        <f t="shared" ref="W25:W29" si="63">SUM(P25:V25)</f>
        <v>1</v>
      </c>
      <c r="X25" s="7">
        <f t="shared" ref="X25:X35" si="64">SUM(P25:U25)</f>
        <v>0.46263628830708253</v>
      </c>
      <c r="Y25" s="7">
        <f t="shared" ref="Y25:Y35" si="65">W25-(X25+V25)</f>
        <v>0</v>
      </c>
    </row>
    <row r="26" spans="1:25" x14ac:dyDescent="0.2">
      <c r="A26">
        <f t="shared" si="42"/>
        <v>2009</v>
      </c>
      <c r="B26" s="2">
        <f t="shared" si="53"/>
        <v>16791.451873559996</v>
      </c>
      <c r="C26" s="2"/>
      <c r="D26" s="2">
        <f t="shared" si="54"/>
        <v>12972.712121665922</v>
      </c>
      <c r="E26" s="2">
        <f t="shared" si="55"/>
        <v>8802.6191344344006</v>
      </c>
      <c r="F26" s="2"/>
      <c r="G26" s="2">
        <f t="shared" si="56"/>
        <v>13243.850865571589</v>
      </c>
      <c r="H26" s="2">
        <f t="shared" si="57"/>
        <v>47592.001591199994</v>
      </c>
      <c r="I26" s="2">
        <f t="shared" si="43"/>
        <v>99402.635586431905</v>
      </c>
      <c r="J26" s="2">
        <f t="shared" si="58"/>
        <v>15794.861145431918</v>
      </c>
      <c r="K26" s="6">
        <f t="shared" si="59"/>
        <v>0.18891617736551491</v>
      </c>
      <c r="L26" s="7">
        <f t="shared" si="60"/>
        <v>1.188916177365515</v>
      </c>
      <c r="O26">
        <f t="shared" si="47"/>
        <v>2009</v>
      </c>
      <c r="P26" s="6">
        <f t="shared" si="48"/>
        <v>0.16892360825744512</v>
      </c>
      <c r="Q26" s="6"/>
      <c r="R26" s="6">
        <f t="shared" si="61"/>
        <v>0.13050672193078802</v>
      </c>
      <c r="S26" s="6">
        <f t="shared" si="62"/>
        <v>8.8555188526972278E-2</v>
      </c>
      <c r="T26" s="6"/>
      <c r="U26" s="6">
        <f t="shared" si="51"/>
        <v>0.13323440356926838</v>
      </c>
      <c r="V26" s="6">
        <f t="shared" si="52"/>
        <v>0.47878007771552616</v>
      </c>
      <c r="W26" s="20">
        <f t="shared" si="63"/>
        <v>1</v>
      </c>
      <c r="X26" s="7">
        <f t="shared" si="64"/>
        <v>0.52121992228447389</v>
      </c>
      <c r="Y26" s="7">
        <f t="shared" si="65"/>
        <v>0</v>
      </c>
    </row>
    <row r="27" spans="1:25" x14ac:dyDescent="0.2">
      <c r="A27">
        <f t="shared" si="42"/>
        <v>2010</v>
      </c>
      <c r="B27" s="2">
        <f t="shared" si="53"/>
        <v>19295.05734790779</v>
      </c>
      <c r="C27" s="2"/>
      <c r="D27" s="2">
        <f t="shared" si="54"/>
        <v>16275.564627842065</v>
      </c>
      <c r="E27" s="2">
        <f t="shared" si="55"/>
        <v>11242.705158499617</v>
      </c>
      <c r="F27" s="2"/>
      <c r="G27" s="2">
        <f t="shared" si="56"/>
        <v>14716.567081823148</v>
      </c>
      <c r="H27" s="2">
        <f t="shared" si="57"/>
        <v>50647.408093355036</v>
      </c>
      <c r="I27" s="2">
        <f t="shared" ref="I27:I28" si="66">SUM(B27:H27)</f>
        <v>112177.30230942764</v>
      </c>
      <c r="J27" s="2">
        <f t="shared" si="58"/>
        <v>12774.666722995738</v>
      </c>
      <c r="K27" s="6">
        <f t="shared" ref="K27:K28" si="67">(J27/I26)</f>
        <v>0.12851436632067967</v>
      </c>
      <c r="L27" s="7">
        <f t="shared" si="60"/>
        <v>1.1285143663206796</v>
      </c>
      <c r="O27">
        <f t="shared" si="47"/>
        <v>2010</v>
      </c>
      <c r="P27" s="6">
        <f t="shared" si="48"/>
        <v>0.17200500413786637</v>
      </c>
      <c r="Q27" s="6"/>
      <c r="R27" s="6">
        <f t="shared" si="61"/>
        <v>0.1450878590657125</v>
      </c>
      <c r="S27" s="6">
        <f t="shared" si="62"/>
        <v>0.10022263797615637</v>
      </c>
      <c r="T27" s="6"/>
      <c r="U27" s="6">
        <f t="shared" si="51"/>
        <v>0.13119023883485148</v>
      </c>
      <c r="V27" s="6">
        <f t="shared" si="52"/>
        <v>0.45149425998541337</v>
      </c>
      <c r="W27" s="20">
        <f t="shared" si="63"/>
        <v>1</v>
      </c>
      <c r="X27" s="7">
        <f t="shared" si="64"/>
        <v>0.54850574001458674</v>
      </c>
      <c r="Y27" s="7">
        <f t="shared" si="65"/>
        <v>0</v>
      </c>
    </row>
    <row r="28" spans="1:25" x14ac:dyDescent="0.2">
      <c r="A28">
        <f t="shared" si="42"/>
        <v>2011</v>
      </c>
      <c r="B28" s="2">
        <f t="shared" si="53"/>
        <v>19675.169977661575</v>
      </c>
      <c r="C28" s="2"/>
      <c r="D28" s="2">
        <f t="shared" si="54"/>
        <v>15932.150214194597</v>
      </c>
      <c r="E28" s="2">
        <f t="shared" si="55"/>
        <v>10927.909414061627</v>
      </c>
      <c r="F28" s="2"/>
      <c r="G28" s="2">
        <f t="shared" si="56"/>
        <v>12573.834914709698</v>
      </c>
      <c r="H28" s="2">
        <f t="shared" si="57"/>
        <v>54476.352145212681</v>
      </c>
      <c r="I28" s="2">
        <f t="shared" si="66"/>
        <v>113585.41666584017</v>
      </c>
      <c r="J28" s="2">
        <f t="shared" si="58"/>
        <v>1408.1143564125232</v>
      </c>
      <c r="K28" s="6">
        <f t="shared" si="67"/>
        <v>1.2552578172439988E-2</v>
      </c>
      <c r="L28" s="7">
        <f t="shared" si="60"/>
        <v>1.01255257817244</v>
      </c>
      <c r="O28">
        <f t="shared" si="47"/>
        <v>2011</v>
      </c>
      <c r="P28" s="6">
        <f t="shared" si="48"/>
        <v>0.17321915572616561</v>
      </c>
      <c r="Q28" s="6"/>
      <c r="R28" s="6">
        <f t="shared" si="61"/>
        <v>0.1402658077230618</v>
      </c>
      <c r="S28" s="6">
        <f t="shared" si="62"/>
        <v>9.6208736427940589E-2</v>
      </c>
      <c r="T28" s="7"/>
      <c r="U28" s="6">
        <f t="shared" si="51"/>
        <v>0.11069937747115005</v>
      </c>
      <c r="V28" s="6">
        <f t="shared" si="52"/>
        <v>0.47960692265168203</v>
      </c>
      <c r="W28" s="20">
        <f t="shared" si="63"/>
        <v>1</v>
      </c>
      <c r="X28" s="7">
        <f t="shared" si="64"/>
        <v>0.52039307734831808</v>
      </c>
      <c r="Y28" s="7">
        <f t="shared" si="65"/>
        <v>0</v>
      </c>
    </row>
    <row r="29" spans="1:25" x14ac:dyDescent="0.2">
      <c r="A29">
        <f t="shared" si="42"/>
        <v>2012</v>
      </c>
      <c r="B29" s="2">
        <f t="shared" si="53"/>
        <v>22787.781868127633</v>
      </c>
      <c r="C29" s="2"/>
      <c r="D29" s="2">
        <f t="shared" si="54"/>
        <v>18449.429948037341</v>
      </c>
      <c r="E29" s="2">
        <f t="shared" si="55"/>
        <v>12899.304272358346</v>
      </c>
      <c r="F29" s="2"/>
      <c r="G29" s="2">
        <f t="shared" si="56"/>
        <v>14854.728568238037</v>
      </c>
      <c r="H29" s="2">
        <f t="shared" si="57"/>
        <v>56682.644407093794</v>
      </c>
      <c r="I29" s="2">
        <f t="shared" ref="I29:I31" si="68">SUM(B29:H29)</f>
        <v>125673.88906385514</v>
      </c>
      <c r="J29" s="2">
        <f t="shared" ref="J29:J31" si="69">I29-I28</f>
        <v>12088.472398014972</v>
      </c>
      <c r="K29" s="6">
        <f t="shared" ref="K29:K31" si="70">(J29/I28)</f>
        <v>0.10642627154838334</v>
      </c>
      <c r="L29" s="7">
        <f t="shared" ref="L29:L31" si="71">K29+1</f>
        <v>1.1064262715483832</v>
      </c>
      <c r="O29">
        <f t="shared" si="47"/>
        <v>2012</v>
      </c>
      <c r="P29" s="6">
        <f t="shared" si="48"/>
        <v>0.18132471301615499</v>
      </c>
      <c r="Q29" s="7"/>
      <c r="R29" s="6">
        <f t="shared" si="61"/>
        <v>0.14680400268876179</v>
      </c>
      <c r="S29" s="6">
        <f t="shared" si="62"/>
        <v>0.10264108454385608</v>
      </c>
      <c r="T29" s="7"/>
      <c r="U29" s="6">
        <f t="shared" si="51"/>
        <v>0.11820059583490984</v>
      </c>
      <c r="V29" s="6">
        <f t="shared" si="52"/>
        <v>0.45102960391631741</v>
      </c>
      <c r="W29" s="20">
        <f t="shared" si="63"/>
        <v>1</v>
      </c>
      <c r="X29" s="7">
        <f t="shared" si="64"/>
        <v>0.5489703960836827</v>
      </c>
      <c r="Y29" s="7">
        <f t="shared" si="65"/>
        <v>0</v>
      </c>
    </row>
    <row r="30" spans="1:25" x14ac:dyDescent="0.2">
      <c r="A30">
        <f t="shared" si="42"/>
        <v>2013</v>
      </c>
      <c r="B30" s="2">
        <f t="shared" si="53"/>
        <v>30120.890073291106</v>
      </c>
      <c r="C30" s="2"/>
      <c r="D30" s="2">
        <f t="shared" si="54"/>
        <v>24906.730429850413</v>
      </c>
      <c r="E30" s="2">
        <f t="shared" si="55"/>
        <v>17752.022539619553</v>
      </c>
      <c r="F30" s="2"/>
      <c r="G30" s="2">
        <f t="shared" si="56"/>
        <v>17088.879744901034</v>
      </c>
      <c r="H30" s="2">
        <f t="shared" si="57"/>
        <v>55401.616643493478</v>
      </c>
      <c r="I30" s="2">
        <f t="shared" si="68"/>
        <v>145270.13943115558</v>
      </c>
      <c r="J30" s="2">
        <f t="shared" si="69"/>
        <v>19596.250367300439</v>
      </c>
      <c r="K30" s="6">
        <f t="shared" si="70"/>
        <v>0.15592937016012567</v>
      </c>
      <c r="L30" s="7">
        <f t="shared" si="71"/>
        <v>1.1559293701601256</v>
      </c>
      <c r="O30">
        <f t="shared" ref="O30:O31" si="72">A30</f>
        <v>2013</v>
      </c>
      <c r="P30" s="6">
        <f t="shared" ref="P30:P31" si="73">B30/$I30</f>
        <v>0.20734398818117458</v>
      </c>
      <c r="Q30" s="7"/>
      <c r="R30" s="6">
        <f t="shared" ref="R30:R31" si="74">D30/$I30</f>
        <v>0.17145113598279341</v>
      </c>
      <c r="S30" s="6">
        <f t="shared" ref="S30:S31" si="75">E30/$I30</f>
        <v>0.12220007917065673</v>
      </c>
      <c r="T30" s="7"/>
      <c r="U30" s="6">
        <f t="shared" ref="U30:U31" si="76">G30/$I30</f>
        <v>0.1176351851235027</v>
      </c>
      <c r="V30" s="6">
        <f t="shared" ref="V30:V31" si="77">H30/$I30</f>
        <v>0.38136961154187266</v>
      </c>
      <c r="W30" s="20">
        <f t="shared" ref="W30:W31" si="78">SUM(P30:V30)</f>
        <v>1</v>
      </c>
      <c r="X30" s="7">
        <f t="shared" si="64"/>
        <v>0.61863038845812746</v>
      </c>
      <c r="Y30" s="7">
        <f t="shared" si="65"/>
        <v>0</v>
      </c>
    </row>
    <row r="31" spans="1:25" x14ac:dyDescent="0.2">
      <c r="A31">
        <f t="shared" si="42"/>
        <v>2014</v>
      </c>
      <c r="B31" s="2">
        <f t="shared" si="53"/>
        <v>34190.222322192734</v>
      </c>
      <c r="C31" s="2"/>
      <c r="D31" s="2">
        <f t="shared" si="54"/>
        <v>28294.045768310072</v>
      </c>
      <c r="E31" s="2">
        <f t="shared" si="55"/>
        <v>19060.346600789515</v>
      </c>
      <c r="F31" s="2"/>
      <c r="G31" s="2">
        <f t="shared" si="56"/>
        <v>16364.311243717231</v>
      </c>
      <c r="H31" s="2">
        <f t="shared" si="57"/>
        <v>58592.74976215871</v>
      </c>
      <c r="I31" s="2">
        <f t="shared" si="68"/>
        <v>156501.67569716828</v>
      </c>
      <c r="J31" s="2">
        <f t="shared" si="69"/>
        <v>11231.536266012699</v>
      </c>
      <c r="K31" s="6">
        <f t="shared" si="70"/>
        <v>7.7314830907389567E-2</v>
      </c>
      <c r="L31" s="7">
        <f t="shared" si="71"/>
        <v>1.0773148309073897</v>
      </c>
      <c r="O31">
        <f t="shared" si="72"/>
        <v>2014</v>
      </c>
      <c r="P31" s="6">
        <f t="shared" si="73"/>
        <v>0.21846553508060212</v>
      </c>
      <c r="Q31" s="7"/>
      <c r="R31" s="6">
        <f t="shared" si="74"/>
        <v>0.18079068893204203</v>
      </c>
      <c r="S31" s="6">
        <f t="shared" si="75"/>
        <v>0.121790048035469</v>
      </c>
      <c r="T31" s="7"/>
      <c r="U31" s="6">
        <f t="shared" si="76"/>
        <v>0.10456316950485742</v>
      </c>
      <c r="V31" s="6">
        <f t="shared" si="77"/>
        <v>0.37439055844702934</v>
      </c>
      <c r="W31" s="20">
        <f t="shared" si="78"/>
        <v>1</v>
      </c>
      <c r="X31" s="7">
        <f t="shared" si="64"/>
        <v>0.6256094415529706</v>
      </c>
      <c r="Y31" s="7">
        <f t="shared" si="65"/>
        <v>0</v>
      </c>
    </row>
    <row r="32" spans="1:25" x14ac:dyDescent="0.2">
      <c r="A32">
        <f t="shared" si="42"/>
        <v>2015</v>
      </c>
      <c r="B32" s="2">
        <f t="shared" si="53"/>
        <v>34617.600101220145</v>
      </c>
      <c r="C32" s="2"/>
      <c r="D32" s="2">
        <f t="shared" si="54"/>
        <v>27880.952700092748</v>
      </c>
      <c r="E32" s="2">
        <f t="shared" si="55"/>
        <v>18339.865499279669</v>
      </c>
      <c r="F32" s="2"/>
      <c r="G32" s="2">
        <f t="shared" si="56"/>
        <v>15649.190842366788</v>
      </c>
      <c r="H32" s="2">
        <f t="shared" si="57"/>
        <v>58768.528011445182</v>
      </c>
      <c r="I32" s="2">
        <f t="shared" ref="I32" si="79">SUM(B32:H32)</f>
        <v>155256.13715440454</v>
      </c>
      <c r="J32" s="2">
        <f t="shared" ref="J32" si="80">I32-I31</f>
        <v>-1245.5385427637375</v>
      </c>
      <c r="K32" s="6">
        <f t="shared" ref="K32" si="81">(J32/I31)</f>
        <v>-7.9586275176622544E-3</v>
      </c>
      <c r="L32" s="7">
        <f t="shared" ref="L32" si="82">K32+1</f>
        <v>0.9920413724823377</v>
      </c>
      <c r="O32">
        <f t="shared" ref="O32" si="83">A32</f>
        <v>2015</v>
      </c>
      <c r="P32" s="6">
        <f t="shared" ref="P32" si="84">B32/$I32</f>
        <v>0.22297089658228728</v>
      </c>
      <c r="Q32" s="7"/>
      <c r="R32" s="6">
        <f t="shared" ref="R32" si="85">D32/$I32</f>
        <v>0.1795803580528654</v>
      </c>
      <c r="S32" s="6">
        <f t="shared" ref="S32" si="86">E32/$I32</f>
        <v>0.11812650910566196</v>
      </c>
      <c r="T32" s="7"/>
      <c r="U32" s="6">
        <f t="shared" ref="U32" si="87">G32/$I32</f>
        <v>0.10079595647032899</v>
      </c>
      <c r="V32" s="6">
        <f t="shared" ref="V32" si="88">H32/$I32</f>
        <v>0.37852627978885628</v>
      </c>
      <c r="W32" s="20">
        <f t="shared" ref="W32" si="89">SUM(P32:V32)</f>
        <v>1</v>
      </c>
      <c r="X32" s="7">
        <f t="shared" si="64"/>
        <v>0.62147372021114367</v>
      </c>
      <c r="Y32" s="7">
        <f t="shared" si="65"/>
        <v>0</v>
      </c>
    </row>
    <row r="33" spans="1:25" x14ac:dyDescent="0.2">
      <c r="A33">
        <f t="shared" si="42"/>
        <v>2016</v>
      </c>
      <c r="B33" s="2">
        <f t="shared" si="53"/>
        <v>38709.400433184368</v>
      </c>
      <c r="C33" s="2"/>
      <c r="D33" s="2">
        <f t="shared" si="54"/>
        <v>30967.374163993016</v>
      </c>
      <c r="E33" s="2">
        <f t="shared" si="55"/>
        <v>21672.219060498785</v>
      </c>
      <c r="F33" s="2"/>
      <c r="G33" s="2">
        <f t="shared" si="56"/>
        <v>16376.878216536843</v>
      </c>
      <c r="H33" s="2">
        <f t="shared" si="57"/>
        <v>60237.741211731307</v>
      </c>
      <c r="I33" s="2">
        <f t="shared" ref="I33" si="90">SUM(B33:H33)</f>
        <v>167963.61308594432</v>
      </c>
      <c r="J33" s="2">
        <f t="shared" ref="J33" si="91">I33-I32</f>
        <v>12707.475931539782</v>
      </c>
      <c r="K33" s="6">
        <f t="shared" ref="K33" si="92">(J33/I32)</f>
        <v>8.1848461287568994E-2</v>
      </c>
      <c r="L33" s="7">
        <f t="shared" ref="L33" si="93">K33+1</f>
        <v>1.081848461287569</v>
      </c>
      <c r="O33">
        <f t="shared" ref="O33" si="94">A33</f>
        <v>2016</v>
      </c>
      <c r="P33" s="6">
        <f t="shared" ref="P33" si="95">B33/$I33</f>
        <v>0.23046301351815635</v>
      </c>
      <c r="Q33" s="7"/>
      <c r="R33" s="6">
        <f t="shared" ref="R33" si="96">D33/$I33</f>
        <v>0.1843695404917701</v>
      </c>
      <c r="S33" s="6">
        <f t="shared" ref="S33" si="97">E33/$I33</f>
        <v>0.12902925021867356</v>
      </c>
      <c r="T33" s="7"/>
      <c r="U33" s="6">
        <f t="shared" ref="U33" si="98">G33/$I33</f>
        <v>9.7502535910304888E-2</v>
      </c>
      <c r="V33" s="6">
        <f t="shared" ref="V33" si="99">H33/$I33</f>
        <v>0.35863565986109508</v>
      </c>
      <c r="W33" s="20">
        <f t="shared" ref="W33" si="100">SUM(P33:V33)</f>
        <v>1</v>
      </c>
      <c r="X33" s="7">
        <f t="shared" si="64"/>
        <v>0.64136434013890498</v>
      </c>
      <c r="Y33" s="7">
        <f t="shared" si="65"/>
        <v>0</v>
      </c>
    </row>
    <row r="34" spans="1:25" x14ac:dyDescent="0.2">
      <c r="A34">
        <f t="shared" si="42"/>
        <v>2017</v>
      </c>
      <c r="B34" s="2">
        <f t="shared" si="53"/>
        <v>47097.727507055417</v>
      </c>
      <c r="C34" s="2"/>
      <c r="D34" s="2">
        <f t="shared" ref="D34:E34" si="101">D33*(1+(D14/100))</f>
        <v>37036.979500135647</v>
      </c>
      <c r="E34" s="2">
        <f t="shared" si="101"/>
        <v>25161.44632923909</v>
      </c>
      <c r="F34" s="2"/>
      <c r="G34" s="2">
        <f t="shared" ref="G34:H34" si="102">G33*(1+(G14/100))</f>
        <v>20864.142847867937</v>
      </c>
      <c r="H34" s="2">
        <f t="shared" si="102"/>
        <v>62321.96705765721</v>
      </c>
      <c r="I34" s="2">
        <f t="shared" ref="I34:I35" si="103">SUM(B34:H34)</f>
        <v>192482.26324195531</v>
      </c>
      <c r="J34" s="2">
        <f t="shared" ref="J34:J35" si="104">I34-I33</f>
        <v>24518.65015601099</v>
      </c>
      <c r="K34" s="6">
        <f t="shared" ref="K34:K35" si="105">(J34/I33)</f>
        <v>0.14597596292159531</v>
      </c>
      <c r="L34" s="7">
        <f t="shared" ref="L34:L35" si="106">K34+1</f>
        <v>1.1459759629215953</v>
      </c>
      <c r="O34">
        <f t="shared" ref="O34:O35" si="107">A34</f>
        <v>2017</v>
      </c>
      <c r="P34" s="6">
        <f t="shared" ref="P34:P35" si="108">B34/$I34</f>
        <v>0.24468606464717388</v>
      </c>
      <c r="Q34" s="7"/>
      <c r="R34" s="6">
        <f t="shared" ref="R34:R35" si="109">D34/$I34</f>
        <v>0.19241762267507828</v>
      </c>
      <c r="S34" s="6">
        <f t="shared" ref="S34:S35" si="110">E34/$I34</f>
        <v>0.13072085658931848</v>
      </c>
      <c r="T34" s="7"/>
      <c r="U34" s="6">
        <f t="shared" ref="U34:U35" si="111">G34/$I34</f>
        <v>0.10839514507184049</v>
      </c>
      <c r="V34" s="6">
        <f t="shared" ref="V34:V35" si="112">H34/$I34</f>
        <v>0.32378031101658883</v>
      </c>
      <c r="W34" s="20">
        <f t="shared" ref="W34:W35" si="113">SUM(P34:V34)</f>
        <v>0.99999999999999978</v>
      </c>
      <c r="X34" s="7">
        <f t="shared" si="64"/>
        <v>0.676219688983411</v>
      </c>
      <c r="Y34" s="7">
        <f t="shared" si="65"/>
        <v>0</v>
      </c>
    </row>
    <row r="35" spans="1:25" x14ac:dyDescent="0.2">
      <c r="A35">
        <f t="shared" si="42"/>
        <v>2018</v>
      </c>
      <c r="B35" s="2">
        <f t="shared" si="53"/>
        <v>44978.32976923792</v>
      </c>
      <c r="C35" s="2"/>
      <c r="D35" s="2">
        <f t="shared" ref="D35:E37" si="114">D34*(1+(D15/100))</f>
        <v>33592.540406623033</v>
      </c>
      <c r="E35" s="2">
        <f t="shared" si="114"/>
        <v>22796.270374290616</v>
      </c>
      <c r="F35" s="2"/>
      <c r="G35" s="2">
        <f t="shared" ref="G35:H37" si="115">G34*(1+(G15/100))</f>
        <v>17838.842134927087</v>
      </c>
      <c r="H35" s="2">
        <f t="shared" si="115"/>
        <v>62259.645090599552</v>
      </c>
      <c r="I35" s="2">
        <f t="shared" si="103"/>
        <v>181465.62777567821</v>
      </c>
      <c r="J35" s="2">
        <f t="shared" si="104"/>
        <v>-11016.635466277105</v>
      </c>
      <c r="K35" s="6">
        <f t="shared" si="105"/>
        <v>-5.7234548683734572E-2</v>
      </c>
      <c r="L35" s="7">
        <f t="shared" si="106"/>
        <v>0.94276545131626543</v>
      </c>
      <c r="O35">
        <f t="shared" si="107"/>
        <v>2018</v>
      </c>
      <c r="P35" s="6">
        <f t="shared" si="108"/>
        <v>0.24786142874858175</v>
      </c>
      <c r="Q35" s="7"/>
      <c r="R35" s="6">
        <f t="shared" si="109"/>
        <v>0.18511792463611357</v>
      </c>
      <c r="S35" s="6">
        <f t="shared" si="110"/>
        <v>0.12562307613687926</v>
      </c>
      <c r="T35" s="7"/>
      <c r="U35" s="6">
        <f t="shared" si="111"/>
        <v>9.8304248322877277E-2</v>
      </c>
      <c r="V35" s="6">
        <f t="shared" si="112"/>
        <v>0.34309332215554816</v>
      </c>
      <c r="W35" s="20">
        <f t="shared" si="113"/>
        <v>1</v>
      </c>
      <c r="X35" s="7">
        <f t="shared" si="64"/>
        <v>0.65690667784445189</v>
      </c>
      <c r="Y35" s="7">
        <f t="shared" si="65"/>
        <v>0</v>
      </c>
    </row>
    <row r="36" spans="1:25" x14ac:dyDescent="0.2">
      <c r="A36">
        <f t="shared" si="42"/>
        <v>2019</v>
      </c>
      <c r="B36" s="2">
        <f t="shared" si="53"/>
        <v>59126.713181449399</v>
      </c>
      <c r="C36" s="2"/>
      <c r="D36" s="2">
        <f t="shared" si="114"/>
        <v>44016.843175444665</v>
      </c>
      <c r="E36" s="2">
        <f t="shared" si="114"/>
        <v>29035.016872704226</v>
      </c>
      <c r="F36" s="2"/>
      <c r="G36" s="2">
        <f t="shared" si="115"/>
        <v>21675.620301307204</v>
      </c>
      <c r="H36" s="2">
        <f t="shared" si="115"/>
        <v>67684.950563794395</v>
      </c>
      <c r="I36" s="2">
        <f t="shared" ref="I36:I37" si="116">SUM(B36:H36)</f>
        <v>221539.14409469988</v>
      </c>
      <c r="J36" s="2">
        <f t="shared" ref="J36:J37" si="117">I36-I35</f>
        <v>40073.51631902167</v>
      </c>
      <c r="K36" s="6">
        <f t="shared" ref="K36:K37" si="118">(J36/I35)</f>
        <v>0.22083254448913719</v>
      </c>
      <c r="L36" s="7">
        <f t="shared" ref="L36:L37" si="119">K36+1</f>
        <v>1.2208325444891373</v>
      </c>
      <c r="O36">
        <f t="shared" ref="O36:O37" si="120">A36</f>
        <v>2019</v>
      </c>
      <c r="P36" s="6">
        <f t="shared" ref="P36:P37" si="121">B36/$I36</f>
        <v>0.26689059138088433</v>
      </c>
      <c r="Q36" s="7"/>
      <c r="R36" s="6">
        <f t="shared" ref="R36:R37" si="122">D36/$I36</f>
        <v>0.19868652718378776</v>
      </c>
      <c r="S36" s="6">
        <f t="shared" ref="S36:S37" si="123">E36/$I36</f>
        <v>0.1310604362554223</v>
      </c>
      <c r="T36" s="7"/>
      <c r="U36" s="6">
        <f t="shared" ref="U36:U37" si="124">G36/$I36</f>
        <v>9.7841040191261511E-2</v>
      </c>
      <c r="V36" s="6">
        <f t="shared" ref="V36:V37" si="125">H36/$I36</f>
        <v>0.30552140498864416</v>
      </c>
      <c r="W36" s="20">
        <f t="shared" ref="W36:W37" si="126">SUM(P36:V36)</f>
        <v>1</v>
      </c>
      <c r="X36" s="7">
        <f t="shared" ref="X36:X37" si="127">SUM(P36:U36)</f>
        <v>0.69447859501135589</v>
      </c>
      <c r="Y36" s="7">
        <f t="shared" ref="Y36:Y37" si="128">W36-(X36+V36)</f>
        <v>0</v>
      </c>
    </row>
    <row r="37" spans="1:25" x14ac:dyDescent="0.2">
      <c r="A37">
        <f t="shared" si="42"/>
        <v>2020</v>
      </c>
      <c r="B37" s="2">
        <f t="shared" si="53"/>
        <v>69988.290392881652</v>
      </c>
      <c r="C37" s="2"/>
      <c r="D37" s="2">
        <f t="shared" si="114"/>
        <v>52045.515370645764</v>
      </c>
      <c r="E37" s="2">
        <f t="shared" si="114"/>
        <v>34583.608597078004</v>
      </c>
      <c r="F37" s="2"/>
      <c r="G37" s="2">
        <f t="shared" si="115"/>
        <v>24120.630271294656</v>
      </c>
      <c r="H37" s="2">
        <f t="shared" si="115"/>
        <v>72910.228747319314</v>
      </c>
      <c r="I37" s="2">
        <f t="shared" si="116"/>
        <v>253648.27337921938</v>
      </c>
      <c r="J37" s="2">
        <f t="shared" si="117"/>
        <v>32109.129284519498</v>
      </c>
      <c r="K37" s="6">
        <f t="shared" si="118"/>
        <v>0.14493659536210007</v>
      </c>
      <c r="L37" s="7">
        <f t="shared" si="119"/>
        <v>1.1449365953621</v>
      </c>
      <c r="O37">
        <f t="shared" si="120"/>
        <v>2020</v>
      </c>
      <c r="P37" s="6">
        <f t="shared" si="121"/>
        <v>0.27592653977283321</v>
      </c>
      <c r="Q37" s="7"/>
      <c r="R37" s="6">
        <f t="shared" si="122"/>
        <v>0.2051877376387049</v>
      </c>
      <c r="S37" s="6">
        <f t="shared" si="123"/>
        <v>0.13634474280600931</v>
      </c>
      <c r="T37" s="7"/>
      <c r="U37" s="6">
        <f t="shared" si="124"/>
        <v>9.5094793865333621E-2</v>
      </c>
      <c r="V37" s="6">
        <f t="shared" si="125"/>
        <v>0.28744618591711896</v>
      </c>
      <c r="W37" s="20">
        <f t="shared" si="126"/>
        <v>1</v>
      </c>
      <c r="X37" s="7">
        <f t="shared" si="127"/>
        <v>0.71255381408288099</v>
      </c>
      <c r="Y37" s="7">
        <f t="shared" si="128"/>
        <v>0</v>
      </c>
    </row>
    <row r="38" spans="1:25" x14ac:dyDescent="0.2">
      <c r="A38" s="9" t="s">
        <v>44</v>
      </c>
      <c r="B38" s="10">
        <f>B37</f>
        <v>69988.290392881652</v>
      </c>
      <c r="C38" s="10"/>
      <c r="D38" s="10">
        <f>D37</f>
        <v>52045.515370645764</v>
      </c>
      <c r="E38" s="10">
        <f>E37</f>
        <v>34583.608597078004</v>
      </c>
      <c r="F38" s="10"/>
      <c r="G38" s="10">
        <f>G37</f>
        <v>24120.630271294656</v>
      </c>
      <c r="H38" s="10">
        <f>H37</f>
        <v>72910.228747319314</v>
      </c>
      <c r="I38" s="49">
        <f>SUM(B38:H38)</f>
        <v>253648.27337921938</v>
      </c>
      <c r="J38" s="10"/>
      <c r="K38" s="10"/>
      <c r="O38" s="68" t="s">
        <v>169</v>
      </c>
      <c r="P38" s="69">
        <f>P35</f>
        <v>0.24786142874858175</v>
      </c>
      <c r="Q38" s="68"/>
      <c r="R38" s="69">
        <f>R35</f>
        <v>0.18511792463611357</v>
      </c>
      <c r="S38" s="68"/>
      <c r="T38" s="68"/>
      <c r="U38" s="69">
        <f>U35</f>
        <v>9.8304248322877277E-2</v>
      </c>
      <c r="V38" s="69">
        <f>V35</f>
        <v>0.34309332215554816</v>
      </c>
      <c r="W38" s="69">
        <f>W35</f>
        <v>1</v>
      </c>
      <c r="X38" s="69">
        <f>X35</f>
        <v>0.65690667784445189</v>
      </c>
      <c r="Y38" s="69">
        <f>Y35</f>
        <v>0</v>
      </c>
    </row>
    <row r="39" spans="1:25" x14ac:dyDescent="0.2">
      <c r="A39" s="11" t="s">
        <v>45</v>
      </c>
      <c r="I39" s="48">
        <f>(I38-I23)/I23</f>
        <v>1.5364827337921938</v>
      </c>
      <c r="K39" s="6"/>
      <c r="R39" s="7"/>
    </row>
    <row r="40" spans="1:25" x14ac:dyDescent="0.2">
      <c r="A40" s="1" t="s">
        <v>46</v>
      </c>
      <c r="I40" s="25">
        <f>STDEV(L24:L38)</f>
        <v>0.11433540777193983</v>
      </c>
      <c r="S40" s="70"/>
      <c r="T40" s="70"/>
      <c r="U40" s="71" t="s">
        <v>170</v>
      </c>
      <c r="V40" s="70" t="b">
        <f>IF((V35=V38),TRUE,FALSE)</f>
        <v>1</v>
      </c>
      <c r="W40" s="70"/>
      <c r="X40" s="72" t="b">
        <f>IF(((SUM(P35:U35))=X38),TRUE,FALSE)</f>
        <v>1</v>
      </c>
      <c r="Y40" s="7"/>
    </row>
    <row r="41" spans="1:25" x14ac:dyDescent="0.2">
      <c r="A41" s="1" t="s">
        <v>47</v>
      </c>
      <c r="I41" s="13">
        <f>((1+I39)^(1/I46))-1</f>
        <v>6.8744045028487966E-2</v>
      </c>
    </row>
    <row r="42" spans="1:25" x14ac:dyDescent="0.2">
      <c r="A42" s="1" t="s">
        <v>48</v>
      </c>
      <c r="I42" s="27">
        <f>J25</f>
        <v>-23585.275559000016</v>
      </c>
    </row>
    <row r="43" spans="1:25" x14ac:dyDescent="0.2">
      <c r="A43" s="1" t="s">
        <v>49</v>
      </c>
      <c r="I43" s="28">
        <f>K25</f>
        <v>-0.22002616362721292</v>
      </c>
    </row>
    <row r="44" spans="1:25" x14ac:dyDescent="0.2">
      <c r="A44" s="3" t="s">
        <v>50</v>
      </c>
      <c r="I44" s="29">
        <f>I38-I37</f>
        <v>0</v>
      </c>
    </row>
    <row r="45" spans="1:25" x14ac:dyDescent="0.2">
      <c r="A45" s="3" t="s">
        <v>134</v>
      </c>
      <c r="I45" s="29">
        <f>((SUM(J24:J37))-(I38-I23))</f>
        <v>0</v>
      </c>
    </row>
    <row r="46" spans="1:25" x14ac:dyDescent="0.2">
      <c r="A46" s="3" t="s">
        <v>139</v>
      </c>
      <c r="I46" s="3">
        <f>COUNTA(I24:I37)</f>
        <v>14</v>
      </c>
    </row>
    <row r="47" spans="1:25" x14ac:dyDescent="0.2">
      <c r="A47" s="80" t="s">
        <v>91</v>
      </c>
      <c r="B47" s="2"/>
      <c r="C47" s="2"/>
      <c r="D47" s="2"/>
      <c r="E47" s="2"/>
      <c r="G47" s="2"/>
      <c r="H47" s="2"/>
      <c r="I47" s="81">
        <f>X38</f>
        <v>0.65690667784445189</v>
      </c>
    </row>
    <row r="48" spans="1:25" x14ac:dyDescent="0.2">
      <c r="A48" s="80" t="s">
        <v>174</v>
      </c>
      <c r="B48" s="2"/>
      <c r="D48" s="2"/>
      <c r="E48" s="2"/>
      <c r="G48" s="2"/>
      <c r="H48" s="2"/>
      <c r="I48" s="81">
        <f>V38</f>
        <v>0.34309332215554816</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48"/>
  <sheetViews>
    <sheetView topLeftCell="A10" zoomScaleNormal="100" workbookViewId="0">
      <selection activeCell="I46" sqref="I46"/>
    </sheetView>
  </sheetViews>
  <sheetFormatPr baseColWidth="10" defaultColWidth="8.83203125" defaultRowHeight="15" x14ac:dyDescent="0.2"/>
  <cols>
    <col min="1" max="1" width="25.5" customWidth="1"/>
    <col min="9" max="9" width="10.6640625" customWidth="1"/>
    <col min="10" max="10" width="10" bestFit="1" customWidth="1"/>
    <col min="38" max="39" width="10.83203125" bestFit="1" customWidth="1"/>
    <col min="42" max="42" width="10.83203125" bestFit="1" customWidth="1"/>
    <col min="44" max="44" width="10.83203125" bestFit="1" customWidth="1"/>
    <col min="45" max="45" width="11.5" customWidth="1"/>
  </cols>
  <sheetData>
    <row r="1" spans="1:8" x14ac:dyDescent="0.2">
      <c r="A1" s="18" t="s">
        <v>17</v>
      </c>
    </row>
    <row r="2" spans="1:8" x14ac:dyDescent="0.2">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8" x14ac:dyDescent="0.2">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8" x14ac:dyDescent="0.2">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8" x14ac:dyDescent="0.2">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8" x14ac:dyDescent="0.2">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8" x14ac:dyDescent="0.2">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8" x14ac:dyDescent="0.2">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8" x14ac:dyDescent="0.2">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8" x14ac:dyDescent="0.2">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row>
    <row r="16" spans="1:8" x14ac:dyDescent="0.2">
      <c r="A16" s="16">
        <f>'Non-Rebalanced Strategy'!A16</f>
        <v>2019</v>
      </c>
      <c r="B16" s="16">
        <f>'Non-Rebalanced Strategy'!B16</f>
        <v>31.456</v>
      </c>
      <c r="C16" s="16">
        <f>'Non-Rebalanced Strategy'!C16</f>
        <v>0</v>
      </c>
      <c r="D16" s="16">
        <f>'Non-Rebalanced Strategy'!D16</f>
        <v>31.031600000000001</v>
      </c>
      <c r="E16" s="16">
        <f>'Non-Rebalanced Strategy'!E16</f>
        <v>27.3674</v>
      </c>
      <c r="F16" s="16">
        <f>'Non-Rebalanced Strategy'!F16</f>
        <v>0</v>
      </c>
      <c r="G16" s="16">
        <f>'Non-Rebalanced Strategy'!G16</f>
        <v>21.507999999999999</v>
      </c>
      <c r="H16" s="16">
        <f>'Non-Rebalanced Strategy'!H16</f>
        <v>8.7140000000000004</v>
      </c>
    </row>
    <row r="17" spans="1:46" x14ac:dyDescent="0.2">
      <c r="A17" s="16">
        <f>'Non-Rebalanced Strategy'!A17</f>
        <v>2020</v>
      </c>
      <c r="B17" s="16">
        <f>'Non-Rebalanced Strategy'!B17</f>
        <v>18.37</v>
      </c>
      <c r="C17" s="16">
        <f>'Non-Rebalanced Strategy'!C17</f>
        <v>0</v>
      </c>
      <c r="D17" s="16">
        <f>'Non-Rebalanced Strategy'!D17</f>
        <v>18.239999999999998</v>
      </c>
      <c r="E17" s="16">
        <f>'Non-Rebalanced Strategy'!E17</f>
        <v>19.11</v>
      </c>
      <c r="F17" s="16">
        <f>'Non-Rebalanced Strategy'!F17</f>
        <v>0</v>
      </c>
      <c r="G17" s="16">
        <f>'Non-Rebalanced Strategy'!G17</f>
        <v>11.28</v>
      </c>
      <c r="H17" s="16">
        <f>'Non-Rebalanced Strategy'!H17</f>
        <v>7.72</v>
      </c>
    </row>
    <row r="18" spans="1:46" x14ac:dyDescent="0.2">
      <c r="A18" s="1"/>
    </row>
    <row r="19" spans="1:46" x14ac:dyDescent="0.2">
      <c r="A19" s="1"/>
    </row>
    <row r="20" spans="1:46" x14ac:dyDescent="0.2">
      <c r="A20" s="18" t="s">
        <v>103</v>
      </c>
      <c r="O20" s="18" t="s">
        <v>109</v>
      </c>
      <c r="AA20" s="18" t="s">
        <v>110</v>
      </c>
      <c r="AK20" s="18" t="s">
        <v>111</v>
      </c>
    </row>
    <row r="21" spans="1:46" x14ac:dyDescent="0.2">
      <c r="B21" s="4" t="str">
        <f t="shared" ref="B21:H22" si="0">B2</f>
        <v>LC Stocks</v>
      </c>
      <c r="C21" s="4" t="str">
        <f t="shared" si="0"/>
        <v>Ext Mkt</v>
      </c>
      <c r="D21" s="4" t="str">
        <f t="shared" si="0"/>
        <v>Mcap Stk</v>
      </c>
      <c r="E21" s="4" t="str">
        <f t="shared" si="0"/>
        <v>Small Cap</v>
      </c>
      <c r="F21" s="4" t="str">
        <f t="shared" si="0"/>
        <v>Intl Val</v>
      </c>
      <c r="G21" s="4" t="str">
        <f t="shared" si="0"/>
        <v>Tot Int Stk</v>
      </c>
      <c r="H21" s="4" t="str">
        <f t="shared" si="0"/>
        <v>Bonds</v>
      </c>
      <c r="I21" s="5"/>
      <c r="J21" s="5" t="s">
        <v>42</v>
      </c>
      <c r="K21" s="5" t="s">
        <v>39</v>
      </c>
      <c r="L21" s="5" t="s">
        <v>40</v>
      </c>
      <c r="P21" s="4" t="str">
        <f>B21</f>
        <v>LC Stocks</v>
      </c>
      <c r="Q21" s="4" t="str">
        <f t="shared" ref="Q21:V22" si="1">C21</f>
        <v>Ext Mkt</v>
      </c>
      <c r="R21" s="4" t="str">
        <f t="shared" si="1"/>
        <v>Mcap Stk</v>
      </c>
      <c r="S21" s="4" t="str">
        <f t="shared" si="1"/>
        <v>Small Cap</v>
      </c>
      <c r="T21" s="4" t="str">
        <f t="shared" si="1"/>
        <v>Intl Val</v>
      </c>
      <c r="U21" s="4" t="str">
        <f t="shared" si="1"/>
        <v>Tot Int Stk</v>
      </c>
      <c r="V21" s="4" t="str">
        <f t="shared" si="1"/>
        <v>Bonds</v>
      </c>
      <c r="W21" s="5"/>
      <c r="X21" s="5" t="s">
        <v>171</v>
      </c>
      <c r="Y21" s="3" t="s">
        <v>172</v>
      </c>
      <c r="AB21" s="4" t="str">
        <f t="shared" ref="AB21:AH23" si="2">P21</f>
        <v>LC Stocks</v>
      </c>
      <c r="AC21" s="4" t="str">
        <f t="shared" si="2"/>
        <v>Ext Mkt</v>
      </c>
      <c r="AD21" s="4" t="str">
        <f t="shared" si="2"/>
        <v>Mcap Stk</v>
      </c>
      <c r="AE21" s="4" t="str">
        <f t="shared" si="2"/>
        <v>Small Cap</v>
      </c>
      <c r="AF21" s="4" t="str">
        <f t="shared" si="2"/>
        <v>Intl Val</v>
      </c>
      <c r="AG21" s="4" t="str">
        <f t="shared" si="2"/>
        <v>Tot Int Stk</v>
      </c>
      <c r="AH21" s="4" t="str">
        <f t="shared" si="2"/>
        <v>Bonds</v>
      </c>
      <c r="AI21" s="5"/>
      <c r="AL21" s="4" t="str">
        <f>AB21</f>
        <v>LC Stocks</v>
      </c>
      <c r="AM21" s="4" t="str">
        <f t="shared" ref="AM21:AS23" si="3">AC21</f>
        <v>Ext Mkt</v>
      </c>
      <c r="AN21" s="4" t="str">
        <f t="shared" si="3"/>
        <v>Mcap Stk</v>
      </c>
      <c r="AO21" s="4" t="str">
        <f t="shared" si="3"/>
        <v>Small Cap</v>
      </c>
      <c r="AP21" s="4" t="str">
        <f t="shared" si="3"/>
        <v>Intl Val</v>
      </c>
      <c r="AQ21" s="4" t="str">
        <f t="shared" si="3"/>
        <v>Tot Int Stk</v>
      </c>
      <c r="AR21" s="4" t="str">
        <f t="shared" si="3"/>
        <v>Bonds</v>
      </c>
      <c r="AS21" s="4"/>
      <c r="AT21" t="s">
        <v>54</v>
      </c>
    </row>
    <row r="22" spans="1:46" x14ac:dyDescent="0.2">
      <c r="A22" t="s">
        <v>38</v>
      </c>
      <c r="B22" s="4" t="str">
        <f t="shared" si="0"/>
        <v>VFINX</v>
      </c>
      <c r="C22" s="4" t="str">
        <f t="shared" si="0"/>
        <v>VEXMX</v>
      </c>
      <c r="D22" s="4" t="str">
        <f t="shared" si="0"/>
        <v>VIMSX</v>
      </c>
      <c r="E22" s="4" t="str">
        <f t="shared" si="0"/>
        <v>NAESX</v>
      </c>
      <c r="F22" s="4" t="str">
        <f t="shared" si="0"/>
        <v>VTRIX</v>
      </c>
      <c r="G22" s="4" t="str">
        <f t="shared" si="0"/>
        <v>VGTSX</v>
      </c>
      <c r="H22" s="4" t="str">
        <f t="shared" si="0"/>
        <v>VBMFX</v>
      </c>
      <c r="I22" s="5" t="s">
        <v>36</v>
      </c>
      <c r="J22" s="5" t="s">
        <v>43</v>
      </c>
      <c r="K22" s="5" t="s">
        <v>41</v>
      </c>
      <c r="L22" s="5" t="s">
        <v>41</v>
      </c>
      <c r="O22" t="s">
        <v>38</v>
      </c>
      <c r="P22" s="4" t="str">
        <f>B22</f>
        <v>VFINX</v>
      </c>
      <c r="Q22" s="4" t="str">
        <f t="shared" si="1"/>
        <v>VEXMX</v>
      </c>
      <c r="R22" s="4" t="str">
        <f t="shared" si="1"/>
        <v>VIMSX</v>
      </c>
      <c r="S22" s="4" t="str">
        <f t="shared" si="1"/>
        <v>NAESX</v>
      </c>
      <c r="T22" s="4" t="str">
        <f t="shared" si="1"/>
        <v>VTRIX</v>
      </c>
      <c r="U22" s="4" t="str">
        <f t="shared" si="1"/>
        <v>VGTSX</v>
      </c>
      <c r="V22" s="4" t="str">
        <f t="shared" si="1"/>
        <v>VBMFX</v>
      </c>
      <c r="W22" s="5" t="s">
        <v>36</v>
      </c>
      <c r="X22" s="5" t="s">
        <v>172</v>
      </c>
      <c r="Y22" s="3" t="s">
        <v>53</v>
      </c>
      <c r="AA22" t="str">
        <f>O22</f>
        <v>Fund</v>
      </c>
      <c r="AB22" s="4" t="str">
        <f t="shared" si="2"/>
        <v>VFINX</v>
      </c>
      <c r="AC22" s="4" t="str">
        <f t="shared" si="2"/>
        <v>VEXMX</v>
      </c>
      <c r="AD22" s="4" t="str">
        <f t="shared" si="2"/>
        <v>VIMSX</v>
      </c>
      <c r="AE22" s="4" t="str">
        <f t="shared" si="2"/>
        <v>NAESX</v>
      </c>
      <c r="AF22" s="4" t="str">
        <f t="shared" si="2"/>
        <v>VTRIX</v>
      </c>
      <c r="AG22" s="4" t="str">
        <f t="shared" si="2"/>
        <v>VGTSX</v>
      </c>
      <c r="AH22" s="4" t="str">
        <f t="shared" si="2"/>
        <v>VBMFX</v>
      </c>
      <c r="AI22" s="4" t="str">
        <f>W22</f>
        <v>Total</v>
      </c>
      <c r="AK22" t="s">
        <v>38</v>
      </c>
      <c r="AL22" s="4" t="str">
        <f>AB22</f>
        <v>VFINX</v>
      </c>
      <c r="AM22" s="4" t="str">
        <f t="shared" si="3"/>
        <v>VEXMX</v>
      </c>
      <c r="AN22" s="4" t="str">
        <f t="shared" si="3"/>
        <v>VIMSX</v>
      </c>
      <c r="AO22" s="4" t="str">
        <f t="shared" si="3"/>
        <v>NAESX</v>
      </c>
      <c r="AP22" s="4" t="str">
        <f t="shared" si="3"/>
        <v>VTRIX</v>
      </c>
      <c r="AQ22" s="4" t="str">
        <f t="shared" si="3"/>
        <v>VGTSX</v>
      </c>
      <c r="AR22" s="4" t="str">
        <f t="shared" si="3"/>
        <v>VBMFX</v>
      </c>
      <c r="AS22" s="4" t="str">
        <f t="shared" si="3"/>
        <v>Total</v>
      </c>
      <c r="AT22" t="s">
        <v>53</v>
      </c>
    </row>
    <row r="23" spans="1:46" x14ac:dyDescent="0.2">
      <c r="A23" t="s">
        <v>37</v>
      </c>
      <c r="B23" s="2">
        <f>'Non-Rebalanced Strategy'!B23</f>
        <v>20000</v>
      </c>
      <c r="C23" s="2"/>
      <c r="D23" s="2">
        <f>'Non-Rebalanced Strategy'!D23</f>
        <v>15000</v>
      </c>
      <c r="E23" s="2">
        <f>'Non-Rebalanced Strategy'!E23</f>
        <v>10000</v>
      </c>
      <c r="F23" s="2"/>
      <c r="G23" s="2">
        <f>'Non-Rebalanced Strategy'!G23</f>
        <v>15000</v>
      </c>
      <c r="H23" s="2">
        <f>'Non-Rebalanced Strategy'!H23</f>
        <v>40000</v>
      </c>
      <c r="I23" s="2">
        <f>SUM(B23:H23)</f>
        <v>100000</v>
      </c>
      <c r="O23" s="19" t="s">
        <v>52</v>
      </c>
      <c r="P23" s="20">
        <f>B23/$I23</f>
        <v>0.2</v>
      </c>
      <c r="Q23" s="20"/>
      <c r="R23" s="20">
        <f>D23/$I23</f>
        <v>0.15</v>
      </c>
      <c r="S23" s="20">
        <f>E23/$I23</f>
        <v>0.1</v>
      </c>
      <c r="T23" s="20"/>
      <c r="U23" s="20">
        <f>G23/$I23</f>
        <v>0.15</v>
      </c>
      <c r="V23" s="20">
        <f>H23/$I23</f>
        <v>0.4</v>
      </c>
      <c r="W23" s="20">
        <f>I23/$I23</f>
        <v>1</v>
      </c>
      <c r="X23" s="22"/>
      <c r="AA23" s="19" t="str">
        <f>O23</f>
        <v>Target Allocation</v>
      </c>
      <c r="AB23" s="22">
        <f t="shared" si="2"/>
        <v>0.2</v>
      </c>
      <c r="AC23" s="22"/>
      <c r="AD23" s="23">
        <f t="shared" si="2"/>
        <v>0.15</v>
      </c>
      <c r="AE23" s="23">
        <f t="shared" si="2"/>
        <v>0.1</v>
      </c>
      <c r="AF23" s="22"/>
      <c r="AG23" s="23">
        <f t="shared" si="2"/>
        <v>0.15</v>
      </c>
      <c r="AH23" s="22">
        <f t="shared" si="2"/>
        <v>0.4</v>
      </c>
      <c r="AI23" s="22">
        <f>W23</f>
        <v>1</v>
      </c>
      <c r="AK23" s="19" t="str">
        <f>AA23</f>
        <v>Target Allocation</v>
      </c>
      <c r="AL23" s="22">
        <f>AB23</f>
        <v>0.2</v>
      </c>
      <c r="AM23" s="22"/>
      <c r="AN23" s="23">
        <f t="shared" si="3"/>
        <v>0.15</v>
      </c>
      <c r="AO23" s="23">
        <f t="shared" si="3"/>
        <v>0.1</v>
      </c>
      <c r="AP23" s="22"/>
      <c r="AQ23" s="23">
        <f t="shared" si="3"/>
        <v>0.15</v>
      </c>
      <c r="AR23" s="22">
        <f t="shared" si="3"/>
        <v>0.4</v>
      </c>
      <c r="AS23" s="22">
        <f t="shared" si="3"/>
        <v>1</v>
      </c>
      <c r="AT23" s="2"/>
    </row>
    <row r="24" spans="1:46" x14ac:dyDescent="0.2">
      <c r="A24">
        <f t="shared" ref="A24:A35" si="4">A4</f>
        <v>2007</v>
      </c>
      <c r="B24" s="2">
        <f>B$23*(1+(B4/100))</f>
        <v>21078</v>
      </c>
      <c r="C24" s="2"/>
      <c r="D24" s="2">
        <f>D$23*(1+(D4/100))</f>
        <v>15903.150000000001</v>
      </c>
      <c r="E24" s="2">
        <f>E$23*(1+(E4/100))</f>
        <v>10115.6</v>
      </c>
      <c r="F24" s="2"/>
      <c r="G24" s="2">
        <f>G$23*(1+(G4/100))</f>
        <v>17328.3</v>
      </c>
      <c r="H24" s="2">
        <f>H$23*(1+(H4/100))</f>
        <v>42768</v>
      </c>
      <c r="I24" s="2">
        <f t="shared" ref="I24:I26" si="5">SUM(B24:H24)</f>
        <v>107193.05</v>
      </c>
      <c r="J24" s="2">
        <f t="shared" ref="J24" si="6">I24-I23</f>
        <v>7193.0500000000029</v>
      </c>
      <c r="K24" s="6">
        <f t="shared" ref="K24" si="7">(J24/I23)</f>
        <v>7.1930500000000022E-2</v>
      </c>
      <c r="L24" s="7">
        <f t="shared" ref="L24" si="8">K24+1</f>
        <v>1.0719305000000001</v>
      </c>
      <c r="O24">
        <f t="shared" ref="O24:O28" si="9">A24</f>
        <v>2007</v>
      </c>
      <c r="P24" s="6">
        <f t="shared" ref="P24:U28" si="10">B24/$I24</f>
        <v>0.19663588264351092</v>
      </c>
      <c r="Q24" s="6"/>
      <c r="R24" s="6">
        <f t="shared" ref="R24:S28" si="11">D24/$I24</f>
        <v>0.14835989833296095</v>
      </c>
      <c r="S24" s="6">
        <f t="shared" si="11"/>
        <v>9.4368058376919028E-2</v>
      </c>
      <c r="T24" s="6"/>
      <c r="U24" s="6">
        <f t="shared" si="10"/>
        <v>0.16165506998821286</v>
      </c>
      <c r="V24" s="6">
        <f t="shared" ref="V24:V30" si="12">H24/$I24</f>
        <v>0.39898109065839621</v>
      </c>
      <c r="W24" s="20">
        <f>SUM(P24:V24)</f>
        <v>1</v>
      </c>
      <c r="X24" s="7">
        <f>SUM(P24:U24)</f>
        <v>0.60101890934160374</v>
      </c>
      <c r="Y24" s="7">
        <f>W24-(X24+V24)</f>
        <v>0</v>
      </c>
      <c r="AA24">
        <f t="shared" ref="AA24:AA28" si="13">O24</f>
        <v>2007</v>
      </c>
      <c r="AB24" t="b">
        <f t="shared" ref="AB24" si="14">AND((B24/$I24)&gt;0.15,(B24/$I24)&lt;0.25)</f>
        <v>1</v>
      </c>
      <c r="AD24" t="b">
        <f>AND((D24/$I24)&gt;0.1,(D24/$I24)&lt;0.2)</f>
        <v>1</v>
      </c>
      <c r="AE24" t="b">
        <f t="shared" ref="AE24" si="15">AND((E24/$I24)&gt;0.05,(E24/$I24)&lt;0.15)</f>
        <v>1</v>
      </c>
      <c r="AG24" t="b">
        <f>AND((G24/$I24)&gt;0.1,(G24/$I24)&lt;0.2)</f>
        <v>1</v>
      </c>
      <c r="AH24" t="b">
        <f>AND((H24/$I24)&gt;0.35,(H24/$I24)&lt;0.45)</f>
        <v>1</v>
      </c>
      <c r="AI24" s="1" t="b">
        <f t="shared" ref="AI24:AI28" si="16">AND((I24/$I24)&gt;0.999,(I24/$I24)&lt;1.01)</f>
        <v>1</v>
      </c>
      <c r="AK24">
        <f t="shared" ref="AK24:AK28" si="17">A24</f>
        <v>2007</v>
      </c>
      <c r="AL24" s="2">
        <f t="shared" ref="AL24" si="18">B24</f>
        <v>21078</v>
      </c>
      <c r="AM24" s="2"/>
      <c r="AN24" s="2">
        <f t="shared" ref="AN24" si="19">D24</f>
        <v>15903.150000000001</v>
      </c>
      <c r="AO24" s="2">
        <f t="shared" ref="AO24" si="20">E24</f>
        <v>10115.6</v>
      </c>
      <c r="AP24" s="2"/>
      <c r="AQ24" s="2">
        <f t="shared" ref="AQ24" si="21">G24</f>
        <v>17328.3</v>
      </c>
      <c r="AR24" s="2">
        <f t="shared" ref="AR24" si="22">H24</f>
        <v>42768</v>
      </c>
      <c r="AS24" s="2">
        <f t="shared" ref="AS24:AS28" si="23">I24</f>
        <v>107193.05</v>
      </c>
      <c r="AT24" s="2">
        <f t="shared" ref="AT24:AT28" si="24">(SUM(AL24:AR24))-AS24</f>
        <v>0</v>
      </c>
    </row>
    <row r="25" spans="1:46" x14ac:dyDescent="0.2">
      <c r="A25">
        <f t="shared" si="4"/>
        <v>2008</v>
      </c>
      <c r="B25" s="2">
        <f t="shared" ref="B25:B35" si="25">AL24*(1+(B5/100))</f>
        <v>13274.924399999998</v>
      </c>
      <c r="C25" s="2"/>
      <c r="D25" s="2">
        <f t="shared" ref="D25:D35" si="26">AN24*(1+(D5/100))</f>
        <v>9251.8165440000012</v>
      </c>
      <c r="E25" s="2">
        <f t="shared" ref="E25:E35" si="27">AO24*(1+(E5/100))</f>
        <v>6466.90308</v>
      </c>
      <c r="F25" s="2"/>
      <c r="G25" s="2">
        <f t="shared" ref="G25:G35" si="28">AQ24*(1+(G5/100))</f>
        <v>9686.3464169999988</v>
      </c>
      <c r="H25" s="2">
        <f t="shared" ref="H25:H35" si="29">AR24*(1+(H5/100))</f>
        <v>44927.784</v>
      </c>
      <c r="I25" s="2">
        <f t="shared" si="5"/>
        <v>83607.774440999987</v>
      </c>
      <c r="J25" s="2">
        <f t="shared" ref="J25:J28" si="30">I25-I24</f>
        <v>-23585.275559000016</v>
      </c>
      <c r="K25" s="6">
        <f t="shared" ref="K25:K28" si="31">(J25/I24)</f>
        <v>-0.22002616362721292</v>
      </c>
      <c r="L25" s="7">
        <f t="shared" ref="L25:L28" si="32">K25+1</f>
        <v>0.77997383637278705</v>
      </c>
      <c r="O25">
        <f t="shared" si="9"/>
        <v>2008</v>
      </c>
      <c r="P25" s="6">
        <f t="shared" si="10"/>
        <v>0.15877619621806577</v>
      </c>
      <c r="Q25" s="6"/>
      <c r="R25" s="6">
        <f t="shared" si="11"/>
        <v>0.11065737134922528</v>
      </c>
      <c r="S25" s="6">
        <f t="shared" si="11"/>
        <v>7.7348106958205654E-2</v>
      </c>
      <c r="T25" s="6"/>
      <c r="U25" s="6">
        <f t="shared" si="10"/>
        <v>0.11585461378158586</v>
      </c>
      <c r="V25" s="34">
        <f t="shared" si="12"/>
        <v>0.53736371169291752</v>
      </c>
      <c r="W25" s="20">
        <f t="shared" ref="W25:W28" si="33">SUM(P25:V25)</f>
        <v>1</v>
      </c>
      <c r="X25" s="7">
        <f t="shared" ref="X25:X35" si="34">SUM(P25:U25)</f>
        <v>0.46263628830708253</v>
      </c>
      <c r="Y25" s="7">
        <f t="shared" ref="Y25:Y35" si="35">W25-(X25+V25)</f>
        <v>0</v>
      </c>
      <c r="AA25">
        <f t="shared" si="13"/>
        <v>2008</v>
      </c>
      <c r="AB25" s="1" t="b">
        <f t="shared" ref="AB25:AB37" si="36">AND((B25/$I25)&gt;0.15,(B25/$I25)&lt;0.25)</f>
        <v>1</v>
      </c>
      <c r="AD25" s="1" t="b">
        <f t="shared" ref="AD25:AD37" si="37">AND((D25/$I25)&gt;0.1,(D25/$I25)&lt;0.2)</f>
        <v>1</v>
      </c>
      <c r="AE25" s="1" t="b">
        <f t="shared" ref="AE25:AE37" si="38">AND((E25/$I25)&gt;0.05,(E25/$I25)&lt;0.15)</f>
        <v>1</v>
      </c>
      <c r="AG25" s="1" t="b">
        <f t="shared" ref="AG25:AG37" si="39">AND((G25/$I25)&gt;0.1,(G25/$I25)&lt;0.2)</f>
        <v>1</v>
      </c>
      <c r="AH25" s="35" t="b">
        <f t="shared" ref="AH25:AH37" si="40">AND((H25/$I25)&gt;0.35,(H25/$I25)&lt;0.45)</f>
        <v>0</v>
      </c>
      <c r="AI25" s="1" t="b">
        <f t="shared" si="16"/>
        <v>1</v>
      </c>
      <c r="AK25">
        <f t="shared" si="17"/>
        <v>2008</v>
      </c>
      <c r="AL25" s="24">
        <f>AL$23*$AS25</f>
        <v>16721.554888199997</v>
      </c>
      <c r="AM25" s="2"/>
      <c r="AN25" s="24">
        <f>AN$23*$AS25</f>
        <v>12541.166166149998</v>
      </c>
      <c r="AO25" s="24">
        <f>AO$23*$AS25</f>
        <v>8360.7774440999983</v>
      </c>
      <c r="AP25" s="2"/>
      <c r="AQ25" s="24">
        <f>AQ$23*$AS25</f>
        <v>12541.166166149998</v>
      </c>
      <c r="AR25" s="24">
        <f>AR$23*$AS25</f>
        <v>33443.109776399993</v>
      </c>
      <c r="AS25" s="2">
        <f t="shared" si="23"/>
        <v>83607.774440999987</v>
      </c>
      <c r="AT25" s="2">
        <f t="shared" si="24"/>
        <v>0</v>
      </c>
    </row>
    <row r="26" spans="1:46" x14ac:dyDescent="0.2">
      <c r="A26">
        <f t="shared" si="4"/>
        <v>2009</v>
      </c>
      <c r="B26" s="2">
        <f t="shared" si="25"/>
        <v>21151.094778084174</v>
      </c>
      <c r="C26" s="2"/>
      <c r="D26" s="2">
        <f t="shared" si="26"/>
        <v>17584.972374852205</v>
      </c>
      <c r="E26" s="2">
        <f t="shared" si="27"/>
        <v>11380.523041360037</v>
      </c>
      <c r="F26" s="2"/>
      <c r="G26" s="2">
        <f t="shared" si="28"/>
        <v>17147.160263991907</v>
      </c>
      <c r="H26" s="2">
        <f t="shared" si="29"/>
        <v>35426.286186140511</v>
      </c>
      <c r="I26" s="2">
        <f t="shared" si="5"/>
        <v>102690.03664442884</v>
      </c>
      <c r="J26" s="2">
        <f t="shared" si="30"/>
        <v>19082.262203428851</v>
      </c>
      <c r="K26" s="6">
        <f t="shared" si="31"/>
        <v>0.22823549999999998</v>
      </c>
      <c r="L26" s="7">
        <f t="shared" si="32"/>
        <v>1.2282355</v>
      </c>
      <c r="O26">
        <f t="shared" si="9"/>
        <v>2009</v>
      </c>
      <c r="P26" s="6">
        <f t="shared" si="10"/>
        <v>0.20597027198774173</v>
      </c>
      <c r="Q26" s="6"/>
      <c r="R26" s="6">
        <f t="shared" si="11"/>
        <v>0.17124321842187432</v>
      </c>
      <c r="S26" s="6">
        <f t="shared" si="11"/>
        <v>0.11082402356877</v>
      </c>
      <c r="T26" s="6"/>
      <c r="U26" s="6">
        <f t="shared" si="10"/>
        <v>0.16697978522848428</v>
      </c>
      <c r="V26" s="34">
        <f t="shared" si="12"/>
        <v>0.34498270079312965</v>
      </c>
      <c r="W26" s="20">
        <f t="shared" si="33"/>
        <v>1</v>
      </c>
      <c r="X26" s="7">
        <f t="shared" si="34"/>
        <v>0.65501729920687035</v>
      </c>
      <c r="Y26" s="7">
        <f t="shared" si="35"/>
        <v>0</v>
      </c>
      <c r="AA26">
        <f t="shared" si="13"/>
        <v>2009</v>
      </c>
      <c r="AB26" s="1" t="b">
        <f t="shared" si="36"/>
        <v>1</v>
      </c>
      <c r="AD26" s="1" t="b">
        <f t="shared" si="37"/>
        <v>1</v>
      </c>
      <c r="AE26" s="1" t="b">
        <f t="shared" si="38"/>
        <v>1</v>
      </c>
      <c r="AG26" s="1" t="b">
        <f t="shared" si="39"/>
        <v>1</v>
      </c>
      <c r="AH26" s="1" t="b">
        <f t="shared" si="40"/>
        <v>0</v>
      </c>
      <c r="AI26" s="1" t="b">
        <f t="shared" si="16"/>
        <v>1</v>
      </c>
      <c r="AK26">
        <f t="shared" si="17"/>
        <v>2009</v>
      </c>
      <c r="AL26" s="24">
        <f>AL$23*$AS26</f>
        <v>20538.007328885767</v>
      </c>
      <c r="AM26" s="2"/>
      <c r="AN26" s="24">
        <f>AN$23*$AS26</f>
        <v>15403.505496664326</v>
      </c>
      <c r="AO26" s="24">
        <f>AO$23*$AS26</f>
        <v>10269.003664442884</v>
      </c>
      <c r="AP26" s="58"/>
      <c r="AQ26" s="24">
        <f>AQ$23*$AS26</f>
        <v>15403.505496664326</v>
      </c>
      <c r="AR26" s="24">
        <f>AR$23*$AS26</f>
        <v>41076.014657771535</v>
      </c>
      <c r="AS26" s="2">
        <f t="shared" ref="AS26" si="41">I26</f>
        <v>102690.03664442884</v>
      </c>
      <c r="AT26" s="2">
        <f t="shared" si="24"/>
        <v>0</v>
      </c>
    </row>
    <row r="27" spans="1:46" x14ac:dyDescent="0.2">
      <c r="A27">
        <f t="shared" si="4"/>
        <v>2010</v>
      </c>
      <c r="B27" s="2">
        <f t="shared" si="25"/>
        <v>23600.224221622637</v>
      </c>
      <c r="C27" s="2"/>
      <c r="D27" s="2">
        <f t="shared" si="26"/>
        <v>19325.237996115062</v>
      </c>
      <c r="E27" s="2">
        <f t="shared" si="27"/>
        <v>13115.571480226452</v>
      </c>
      <c r="F27" s="2"/>
      <c r="G27" s="2">
        <f t="shared" si="28"/>
        <v>17116.375307893399</v>
      </c>
      <c r="H27" s="2">
        <f t="shared" si="29"/>
        <v>43713.09479880047</v>
      </c>
      <c r="I27" s="2">
        <f t="shared" ref="I27:I28" si="42">SUM(B27:H27)</f>
        <v>116870.50380465802</v>
      </c>
      <c r="J27" s="2">
        <f t="shared" si="30"/>
        <v>14180.467160229178</v>
      </c>
      <c r="K27" s="6">
        <f t="shared" si="31"/>
        <v>0.13808999999999999</v>
      </c>
      <c r="L27" s="7">
        <f t="shared" si="32"/>
        <v>1.13809</v>
      </c>
      <c r="O27">
        <f t="shared" si="9"/>
        <v>2010</v>
      </c>
      <c r="P27" s="6">
        <f t="shared" si="10"/>
        <v>0.20193482062051332</v>
      </c>
      <c r="Q27" s="6"/>
      <c r="R27" s="6">
        <f t="shared" si="11"/>
        <v>0.16535599117820207</v>
      </c>
      <c r="S27" s="6">
        <f t="shared" si="11"/>
        <v>0.11222311065030006</v>
      </c>
      <c r="T27" s="6"/>
      <c r="U27" s="6">
        <f t="shared" si="10"/>
        <v>0.14645590419035401</v>
      </c>
      <c r="V27" s="6">
        <f t="shared" si="12"/>
        <v>0.37403017336063055</v>
      </c>
      <c r="W27" s="20">
        <f t="shared" si="33"/>
        <v>1</v>
      </c>
      <c r="X27" s="7">
        <f t="shared" si="34"/>
        <v>0.6259698266393694</v>
      </c>
      <c r="Y27" s="7">
        <f t="shared" si="35"/>
        <v>0</v>
      </c>
      <c r="AA27">
        <f t="shared" si="13"/>
        <v>2010</v>
      </c>
      <c r="AB27" s="1" t="b">
        <f t="shared" si="36"/>
        <v>1</v>
      </c>
      <c r="AD27" s="1" t="b">
        <f t="shared" si="37"/>
        <v>1</v>
      </c>
      <c r="AE27" s="1" t="b">
        <f t="shared" si="38"/>
        <v>1</v>
      </c>
      <c r="AG27" s="1" t="b">
        <f t="shared" si="39"/>
        <v>1</v>
      </c>
      <c r="AH27" s="1" t="b">
        <f t="shared" si="40"/>
        <v>1</v>
      </c>
      <c r="AI27" s="1" t="b">
        <f t="shared" si="16"/>
        <v>1</v>
      </c>
      <c r="AK27">
        <f t="shared" si="17"/>
        <v>2010</v>
      </c>
      <c r="AL27" s="58">
        <f t="shared" ref="AL27" si="43">B27</f>
        <v>23600.224221622637</v>
      </c>
      <c r="AM27" s="58"/>
      <c r="AN27" s="58">
        <f t="shared" ref="AN27" si="44">D27</f>
        <v>19325.237996115062</v>
      </c>
      <c r="AO27" s="58">
        <f t="shared" ref="AO27" si="45">E27</f>
        <v>13115.571480226452</v>
      </c>
      <c r="AP27" s="58"/>
      <c r="AQ27" s="2">
        <f t="shared" ref="AQ27" si="46">G27</f>
        <v>17116.375307893399</v>
      </c>
      <c r="AR27" s="2">
        <f t="shared" ref="AR27" si="47">H27</f>
        <v>43713.09479880047</v>
      </c>
      <c r="AS27" s="2">
        <f t="shared" si="23"/>
        <v>116870.50380465802</v>
      </c>
      <c r="AT27" s="2">
        <f t="shared" si="24"/>
        <v>0</v>
      </c>
    </row>
    <row r="28" spans="1:46" x14ac:dyDescent="0.2">
      <c r="A28">
        <f t="shared" si="4"/>
        <v>2011</v>
      </c>
      <c r="B28" s="2">
        <f t="shared" si="25"/>
        <v>24065.148638788603</v>
      </c>
      <c r="C28" s="2"/>
      <c r="D28" s="2">
        <f t="shared" si="26"/>
        <v>18917.475474397033</v>
      </c>
      <c r="E28" s="2">
        <f t="shared" si="27"/>
        <v>12748.335478780111</v>
      </c>
      <c r="F28" s="2"/>
      <c r="G28" s="2">
        <f t="shared" si="28"/>
        <v>14624.23106306412</v>
      </c>
      <c r="H28" s="2">
        <f t="shared" si="29"/>
        <v>47017.80476558979</v>
      </c>
      <c r="I28" s="2">
        <f t="shared" si="42"/>
        <v>117372.99542061964</v>
      </c>
      <c r="J28" s="2">
        <f t="shared" si="30"/>
        <v>502.49161596162594</v>
      </c>
      <c r="K28" s="6">
        <f t="shared" si="31"/>
        <v>4.2995589101037018E-3</v>
      </c>
      <c r="L28" s="7">
        <f t="shared" si="32"/>
        <v>1.0042995589101038</v>
      </c>
      <c r="O28">
        <f t="shared" si="9"/>
        <v>2011</v>
      </c>
      <c r="P28" s="34">
        <f t="shared" si="10"/>
        <v>0.20503139203824844</v>
      </c>
      <c r="Q28" s="6"/>
      <c r="R28" s="6">
        <f t="shared" si="11"/>
        <v>0.16117400264519177</v>
      </c>
      <c r="S28" s="6">
        <f t="shared" si="11"/>
        <v>0.10861387181178246</v>
      </c>
      <c r="T28" s="7"/>
      <c r="U28" s="6">
        <f t="shared" si="10"/>
        <v>0.12459621577055698</v>
      </c>
      <c r="V28" s="6">
        <f t="shared" si="12"/>
        <v>0.40058451773422049</v>
      </c>
      <c r="W28" s="20">
        <f t="shared" si="33"/>
        <v>1.0000000000000002</v>
      </c>
      <c r="X28" s="7">
        <f t="shared" si="34"/>
        <v>0.59941548226577968</v>
      </c>
      <c r="Y28" s="7">
        <f t="shared" si="35"/>
        <v>0</v>
      </c>
      <c r="AA28">
        <f t="shared" si="13"/>
        <v>2011</v>
      </c>
      <c r="AB28" s="1" t="b">
        <f t="shared" si="36"/>
        <v>1</v>
      </c>
      <c r="AD28" s="1" t="b">
        <f t="shared" si="37"/>
        <v>1</v>
      </c>
      <c r="AE28" s="1" t="b">
        <f t="shared" si="38"/>
        <v>1</v>
      </c>
      <c r="AG28" s="1" t="b">
        <f t="shared" si="39"/>
        <v>1</v>
      </c>
      <c r="AH28" s="1" t="b">
        <f t="shared" si="40"/>
        <v>1</v>
      </c>
      <c r="AI28" s="1" t="b">
        <f t="shared" si="16"/>
        <v>1</v>
      </c>
      <c r="AK28">
        <f t="shared" si="17"/>
        <v>2011</v>
      </c>
      <c r="AL28" s="58">
        <f t="shared" ref="AL28" si="48">B28</f>
        <v>24065.148638788603</v>
      </c>
      <c r="AM28" s="58"/>
      <c r="AN28" s="58">
        <f t="shared" ref="AN28" si="49">D28</f>
        <v>18917.475474397033</v>
      </c>
      <c r="AO28" s="58">
        <f t="shared" ref="AO28" si="50">E28</f>
        <v>12748.335478780111</v>
      </c>
      <c r="AP28" s="58"/>
      <c r="AQ28" s="2">
        <f t="shared" ref="AQ28" si="51">G28</f>
        <v>14624.23106306412</v>
      </c>
      <c r="AR28" s="2">
        <f t="shared" ref="AR28" si="52">H28</f>
        <v>47017.80476558979</v>
      </c>
      <c r="AS28" s="2">
        <f t="shared" si="23"/>
        <v>117372.99542061964</v>
      </c>
      <c r="AT28" s="2">
        <f t="shared" si="24"/>
        <v>0</v>
      </c>
    </row>
    <row r="29" spans="1:46" x14ac:dyDescent="0.2">
      <c r="A29">
        <f t="shared" si="4"/>
        <v>2012</v>
      </c>
      <c r="B29" s="2">
        <f t="shared" si="25"/>
        <v>27872.255153444959</v>
      </c>
      <c r="C29" s="2"/>
      <c r="D29" s="2">
        <f t="shared" si="26"/>
        <v>21906.436599351764</v>
      </c>
      <c r="E29" s="2">
        <f t="shared" si="27"/>
        <v>15048.135199152044</v>
      </c>
      <c r="F29" s="2"/>
      <c r="G29" s="2">
        <f t="shared" si="28"/>
        <v>17277.066577903952</v>
      </c>
      <c r="H29" s="2">
        <f t="shared" si="29"/>
        <v>48922.025858596178</v>
      </c>
      <c r="I29" s="2">
        <f t="shared" ref="I29:I31" si="53">SUM(B29:H29)</f>
        <v>131025.91938844891</v>
      </c>
      <c r="J29" s="2">
        <f t="shared" ref="J29:J31" si="54">I29-I28</f>
        <v>13652.923967829265</v>
      </c>
      <c r="K29" s="6">
        <f t="shared" ref="K29:K31" si="55">(J29/I28)</f>
        <v>0.11632082762225195</v>
      </c>
      <c r="L29" s="7">
        <f t="shared" ref="L29:L31" si="56">K29+1</f>
        <v>1.116320827622252</v>
      </c>
      <c r="O29">
        <f t="shared" ref="O29:O31" si="57">A29</f>
        <v>2012</v>
      </c>
      <c r="P29" s="6">
        <f t="shared" ref="P29:P31" si="58">B29/$I29</f>
        <v>0.21272321753998044</v>
      </c>
      <c r="Q29" s="6"/>
      <c r="R29" s="6">
        <f t="shared" ref="R29:R31" si="59">D29/$I29</f>
        <v>0.16719162667659945</v>
      </c>
      <c r="S29" s="6">
        <f t="shared" ref="S29:S31" si="60">E29/$I29</f>
        <v>0.11484853736869616</v>
      </c>
      <c r="T29" s="6"/>
      <c r="U29" s="6">
        <f t="shared" ref="U29:U31" si="61">G29/$I29</f>
        <v>0.13185991488205559</v>
      </c>
      <c r="V29" s="6">
        <f t="shared" ref="V29:V31" si="62">H29/$I29</f>
        <v>0.37337670353266827</v>
      </c>
      <c r="W29" s="20">
        <f t="shared" ref="W29:W31" si="63">SUM(P29:V29)</f>
        <v>0.99999999999999989</v>
      </c>
      <c r="X29" s="7">
        <f t="shared" si="34"/>
        <v>0.62662329646733161</v>
      </c>
      <c r="Y29" s="7">
        <f t="shared" si="35"/>
        <v>0</v>
      </c>
      <c r="AA29">
        <f t="shared" ref="AA29:AA31" si="64">O29</f>
        <v>2012</v>
      </c>
      <c r="AB29" s="1" t="b">
        <f t="shared" si="36"/>
        <v>1</v>
      </c>
      <c r="AD29" s="1" t="b">
        <f t="shared" si="37"/>
        <v>1</v>
      </c>
      <c r="AE29" s="1" t="b">
        <f t="shared" si="38"/>
        <v>1</v>
      </c>
      <c r="AG29" s="1" t="b">
        <f t="shared" si="39"/>
        <v>1</v>
      </c>
      <c r="AH29" s="1" t="b">
        <f t="shared" si="40"/>
        <v>1</v>
      </c>
      <c r="AI29" s="1" t="b">
        <f t="shared" ref="AI29:AI31" si="65">AND((I29/$I29)&gt;0.999,(I29/$I29)&lt;1.01)</f>
        <v>1</v>
      </c>
      <c r="AK29">
        <f t="shared" ref="AK29:AK31" si="66">A29</f>
        <v>2012</v>
      </c>
      <c r="AL29" s="58">
        <f t="shared" ref="AL29:AL31" si="67">B29</f>
        <v>27872.255153444959</v>
      </c>
      <c r="AM29" s="58"/>
      <c r="AN29" s="58">
        <f t="shared" ref="AN29:AN31" si="68">D29</f>
        <v>21906.436599351764</v>
      </c>
      <c r="AO29" s="58">
        <f t="shared" ref="AO29:AO31" si="69">E29</f>
        <v>15048.135199152044</v>
      </c>
      <c r="AP29" s="58"/>
      <c r="AQ29" s="2">
        <f t="shared" ref="AQ29:AQ31" si="70">G29</f>
        <v>17277.066577903952</v>
      </c>
      <c r="AR29" s="2">
        <f t="shared" ref="AR29:AR31" si="71">H29</f>
        <v>48922.025858596178</v>
      </c>
      <c r="AS29" s="2">
        <f t="shared" ref="AS29:AS31" si="72">I29</f>
        <v>131025.91938844891</v>
      </c>
      <c r="AT29" s="2">
        <f t="shared" ref="AT29:AT31" si="73">(SUM(AL29:AR29))-AS29</f>
        <v>0</v>
      </c>
    </row>
    <row r="30" spans="1:46" x14ac:dyDescent="0.2">
      <c r="A30">
        <f t="shared" si="4"/>
        <v>2013</v>
      </c>
      <c r="B30" s="2">
        <f t="shared" si="25"/>
        <v>36841.546861823546</v>
      </c>
      <c r="C30" s="2"/>
      <c r="D30" s="2">
        <f t="shared" si="26"/>
        <v>29573.689409124883</v>
      </c>
      <c r="E30" s="2">
        <f t="shared" si="27"/>
        <v>20709.24366107304</v>
      </c>
      <c r="F30" s="2"/>
      <c r="G30" s="2">
        <f t="shared" si="28"/>
        <v>19875.537391220703</v>
      </c>
      <c r="H30" s="2">
        <f t="shared" si="29"/>
        <v>47816.388074191906</v>
      </c>
      <c r="I30" s="2">
        <f t="shared" si="53"/>
        <v>154816.40539743408</v>
      </c>
      <c r="J30" s="2">
        <f t="shared" si="54"/>
        <v>23790.486008985172</v>
      </c>
      <c r="K30" s="6">
        <f t="shared" si="55"/>
        <v>0.18157083819770178</v>
      </c>
      <c r="L30" s="7">
        <f t="shared" si="56"/>
        <v>1.1815708381977017</v>
      </c>
      <c r="O30">
        <f t="shared" si="57"/>
        <v>2013</v>
      </c>
      <c r="P30" s="6">
        <f t="shared" si="58"/>
        <v>0.23796926925958814</v>
      </c>
      <c r="Q30" s="6"/>
      <c r="R30" s="6">
        <f t="shared" si="59"/>
        <v>0.19102426085404406</v>
      </c>
      <c r="S30" s="6">
        <f t="shared" si="60"/>
        <v>0.13376646750006685</v>
      </c>
      <c r="T30" s="6"/>
      <c r="U30" s="6">
        <f t="shared" si="61"/>
        <v>0.12838133878769234</v>
      </c>
      <c r="V30" s="34">
        <f t="shared" si="12"/>
        <v>0.30885866359860858</v>
      </c>
      <c r="W30" s="20">
        <f t="shared" si="63"/>
        <v>0.99999999999999989</v>
      </c>
      <c r="X30" s="7">
        <f t="shared" si="34"/>
        <v>0.6911413364013913</v>
      </c>
      <c r="Y30" s="7">
        <f t="shared" si="35"/>
        <v>0</v>
      </c>
      <c r="AA30">
        <f t="shared" si="64"/>
        <v>2013</v>
      </c>
      <c r="AB30" s="1" t="b">
        <f t="shared" si="36"/>
        <v>1</v>
      </c>
      <c r="AD30" s="1" t="b">
        <f t="shared" si="37"/>
        <v>1</v>
      </c>
      <c r="AE30" s="1" t="b">
        <f t="shared" si="38"/>
        <v>1</v>
      </c>
      <c r="AG30" s="1" t="b">
        <f t="shared" si="39"/>
        <v>1</v>
      </c>
      <c r="AH30" s="35" t="b">
        <f t="shared" si="40"/>
        <v>0</v>
      </c>
      <c r="AI30" s="1" t="b">
        <f t="shared" si="65"/>
        <v>1</v>
      </c>
      <c r="AK30">
        <f t="shared" si="66"/>
        <v>2013</v>
      </c>
      <c r="AL30" s="24">
        <f>AL$23*$AS30</f>
        <v>30963.281079486816</v>
      </c>
      <c r="AM30" s="2"/>
      <c r="AN30" s="24">
        <f>AN$23*$AS30</f>
        <v>23222.46080961511</v>
      </c>
      <c r="AO30" s="24">
        <f>AO$23*$AS30</f>
        <v>15481.640539743408</v>
      </c>
      <c r="AP30" s="58"/>
      <c r="AQ30" s="24">
        <f>AQ$23*$AS30</f>
        <v>23222.46080961511</v>
      </c>
      <c r="AR30" s="24">
        <f>AR$23*$AS30</f>
        <v>61926.562158973633</v>
      </c>
      <c r="AS30" s="2">
        <f t="shared" si="72"/>
        <v>154816.40539743408</v>
      </c>
      <c r="AT30" s="2">
        <f t="shared" si="73"/>
        <v>0</v>
      </c>
    </row>
    <row r="31" spans="1:46" x14ac:dyDescent="0.2">
      <c r="A31">
        <f t="shared" si="4"/>
        <v>2014</v>
      </c>
      <c r="B31" s="2">
        <f t="shared" si="25"/>
        <v>35146.420353325484</v>
      </c>
      <c r="C31" s="2"/>
      <c r="D31" s="2">
        <f t="shared" si="26"/>
        <v>26380.715479722767</v>
      </c>
      <c r="E31" s="2">
        <f t="shared" si="27"/>
        <v>16622.637447522498</v>
      </c>
      <c r="F31" s="2"/>
      <c r="G31" s="2">
        <f t="shared" si="28"/>
        <v>22237.82847128743</v>
      </c>
      <c r="H31" s="2">
        <f t="shared" si="29"/>
        <v>65493.53213933052</v>
      </c>
      <c r="I31" s="2">
        <f t="shared" si="53"/>
        <v>165881.13389118871</v>
      </c>
      <c r="J31" s="2">
        <f t="shared" si="54"/>
        <v>11064.728493754636</v>
      </c>
      <c r="K31" s="6">
        <f t="shared" si="55"/>
        <v>7.1470000000000145E-2</v>
      </c>
      <c r="L31" s="7">
        <f t="shared" si="56"/>
        <v>1.0714700000000001</v>
      </c>
      <c r="O31">
        <f t="shared" si="57"/>
        <v>2014</v>
      </c>
      <c r="P31" s="6">
        <f t="shared" si="58"/>
        <v>0.21187714075055761</v>
      </c>
      <c r="Q31" s="6"/>
      <c r="R31" s="6">
        <f t="shared" si="59"/>
        <v>0.15903385069110659</v>
      </c>
      <c r="S31" s="6">
        <f t="shared" si="60"/>
        <v>0.10020812528582228</v>
      </c>
      <c r="T31" s="6"/>
      <c r="U31" s="6">
        <f t="shared" si="61"/>
        <v>0.13405881639243281</v>
      </c>
      <c r="V31" s="6">
        <f t="shared" si="62"/>
        <v>0.39482206688008065</v>
      </c>
      <c r="W31" s="20">
        <f t="shared" si="63"/>
        <v>1</v>
      </c>
      <c r="X31" s="7">
        <f t="shared" si="34"/>
        <v>0.6051779331199193</v>
      </c>
      <c r="Y31" s="7">
        <f t="shared" si="35"/>
        <v>0</v>
      </c>
      <c r="AA31">
        <f t="shared" si="64"/>
        <v>2014</v>
      </c>
      <c r="AB31" s="1" t="b">
        <f t="shared" si="36"/>
        <v>1</v>
      </c>
      <c r="AD31" s="1" t="b">
        <f t="shared" si="37"/>
        <v>1</v>
      </c>
      <c r="AE31" s="1" t="b">
        <f t="shared" si="38"/>
        <v>1</v>
      </c>
      <c r="AG31" s="1" t="b">
        <f t="shared" si="39"/>
        <v>1</v>
      </c>
      <c r="AH31" s="1" t="b">
        <f t="shared" si="40"/>
        <v>1</v>
      </c>
      <c r="AI31" s="1" t="b">
        <f t="shared" si="65"/>
        <v>1</v>
      </c>
      <c r="AK31">
        <f t="shared" si="66"/>
        <v>2014</v>
      </c>
      <c r="AL31" s="58">
        <f t="shared" si="67"/>
        <v>35146.420353325484</v>
      </c>
      <c r="AM31" s="58"/>
      <c r="AN31" s="58">
        <f t="shared" si="68"/>
        <v>26380.715479722767</v>
      </c>
      <c r="AO31" s="58">
        <f t="shared" si="69"/>
        <v>16622.637447522498</v>
      </c>
      <c r="AP31" s="58"/>
      <c r="AQ31" s="2">
        <f t="shared" si="70"/>
        <v>22237.82847128743</v>
      </c>
      <c r="AR31" s="2">
        <f t="shared" si="71"/>
        <v>65493.53213933052</v>
      </c>
      <c r="AS31" s="2">
        <f t="shared" si="72"/>
        <v>165881.13389118871</v>
      </c>
      <c r="AT31" s="2">
        <f t="shared" si="73"/>
        <v>0</v>
      </c>
    </row>
    <row r="32" spans="1:46" x14ac:dyDescent="0.2">
      <c r="A32">
        <f t="shared" si="4"/>
        <v>2015</v>
      </c>
      <c r="B32" s="2">
        <f t="shared" si="25"/>
        <v>35585.750607742048</v>
      </c>
      <c r="C32" s="2"/>
      <c r="D32" s="2">
        <f t="shared" si="26"/>
        <v>25995.557033718815</v>
      </c>
      <c r="E32" s="2">
        <f t="shared" si="27"/>
        <v>15994.301752006148</v>
      </c>
      <c r="F32" s="2"/>
      <c r="G32" s="2">
        <f t="shared" si="28"/>
        <v>21266.035367092169</v>
      </c>
      <c r="H32" s="2">
        <f t="shared" si="29"/>
        <v>65690.012735748503</v>
      </c>
      <c r="I32" s="2">
        <f t="shared" ref="I32" si="74">SUM(B32:H32)</f>
        <v>164531.65749630769</v>
      </c>
      <c r="J32" s="2">
        <f t="shared" ref="J32" si="75">I32-I31</f>
        <v>-1349.4763948810287</v>
      </c>
      <c r="K32" s="6">
        <f t="shared" ref="K32" si="76">(J32/I31)</f>
        <v>-8.1352011722214922E-3</v>
      </c>
      <c r="L32" s="7">
        <f t="shared" ref="L32" si="77">K32+1</f>
        <v>0.99186479882777856</v>
      </c>
      <c r="O32">
        <f t="shared" ref="O32" si="78">A32</f>
        <v>2015</v>
      </c>
      <c r="P32" s="6">
        <f t="shared" ref="P32" si="79">B32/$I32</f>
        <v>0.21628512803708089</v>
      </c>
      <c r="Q32" s="6"/>
      <c r="R32" s="6">
        <f t="shared" ref="R32" si="80">D32/$I32</f>
        <v>0.15799729626076484</v>
      </c>
      <c r="S32" s="6">
        <f t="shared" ref="S32" si="81">E32/$I32</f>
        <v>9.7211089922710353E-2</v>
      </c>
      <c r="T32" s="6"/>
      <c r="U32" s="6">
        <f t="shared" ref="U32" si="82">G32/$I32</f>
        <v>0.12925193662240597</v>
      </c>
      <c r="V32" s="6">
        <f t="shared" ref="V32" si="83">H32/$I32</f>
        <v>0.3992545491570379</v>
      </c>
      <c r="W32" s="20">
        <f t="shared" ref="W32" si="84">SUM(P32:V32)</f>
        <v>1</v>
      </c>
      <c r="X32" s="7">
        <f t="shared" si="34"/>
        <v>0.60074545084296205</v>
      </c>
      <c r="Y32" s="7">
        <f t="shared" si="35"/>
        <v>0</v>
      </c>
      <c r="AA32">
        <f t="shared" ref="AA32" si="85">O32</f>
        <v>2015</v>
      </c>
      <c r="AB32" s="1" t="b">
        <f t="shared" si="36"/>
        <v>1</v>
      </c>
      <c r="AD32" s="1" t="b">
        <f t="shared" si="37"/>
        <v>1</v>
      </c>
      <c r="AE32" s="1" t="b">
        <f t="shared" si="38"/>
        <v>1</v>
      </c>
      <c r="AG32" s="1" t="b">
        <f t="shared" si="39"/>
        <v>1</v>
      </c>
      <c r="AH32" s="1" t="b">
        <f t="shared" si="40"/>
        <v>1</v>
      </c>
      <c r="AI32" s="1" t="b">
        <f t="shared" ref="AI32" si="86">AND((I32/$I32)&gt;0.999,(I32/$I32)&lt;1.01)</f>
        <v>1</v>
      </c>
      <c r="AK32">
        <f t="shared" ref="AK32" si="87">A32</f>
        <v>2015</v>
      </c>
      <c r="AL32" s="58">
        <f t="shared" ref="AL32" si="88">B32</f>
        <v>35585.750607742048</v>
      </c>
      <c r="AM32" s="58"/>
      <c r="AN32" s="58">
        <f t="shared" ref="AN32" si="89">D32</f>
        <v>25995.557033718815</v>
      </c>
      <c r="AO32" s="58">
        <f t="shared" ref="AO32" si="90">E32</f>
        <v>15994.301752006148</v>
      </c>
      <c r="AP32" s="58"/>
      <c r="AQ32" s="2">
        <f t="shared" ref="AQ32" si="91">G32</f>
        <v>21266.035367092169</v>
      </c>
      <c r="AR32" s="2">
        <f t="shared" ref="AR32" si="92">H32</f>
        <v>65690.012735748503</v>
      </c>
      <c r="AS32" s="2">
        <f t="shared" ref="AS32" si="93">I32</f>
        <v>164531.65749630769</v>
      </c>
      <c r="AT32" s="2">
        <f t="shared" ref="AT32" si="94">(SUM(AL32:AR32))-AS32</f>
        <v>0</v>
      </c>
    </row>
    <row r="33" spans="1:46" x14ac:dyDescent="0.2">
      <c r="A33">
        <f t="shared" si="4"/>
        <v>2016</v>
      </c>
      <c r="B33" s="2">
        <f t="shared" si="25"/>
        <v>39791.986329577157</v>
      </c>
      <c r="C33" s="2"/>
      <c r="D33" s="2">
        <f t="shared" si="26"/>
        <v>28873.265197351488</v>
      </c>
      <c r="E33" s="2">
        <f t="shared" si="27"/>
        <v>18900.466380345664</v>
      </c>
      <c r="F33" s="2"/>
      <c r="G33" s="2">
        <f t="shared" si="28"/>
        <v>22254.906011661955</v>
      </c>
      <c r="H33" s="2">
        <f t="shared" si="29"/>
        <v>67332.263054142211</v>
      </c>
      <c r="I33" s="2">
        <f t="shared" ref="I33" si="95">SUM(B33:H33)</f>
        <v>177152.88697307848</v>
      </c>
      <c r="J33" s="2">
        <f t="shared" ref="J33" si="96">I33-I32</f>
        <v>12621.229476770794</v>
      </c>
      <c r="K33" s="6">
        <f t="shared" ref="K33" si="97">(J33/I32)</f>
        <v>7.6710036650873892E-2</v>
      </c>
      <c r="L33" s="7">
        <f t="shared" ref="L33" si="98">K33+1</f>
        <v>1.0767100366508739</v>
      </c>
      <c r="O33">
        <f t="shared" ref="O33" si="99">A33</f>
        <v>2016</v>
      </c>
      <c r="P33" s="6">
        <f t="shared" ref="P33" si="100">B33/$I33</f>
        <v>0.22461946293669069</v>
      </c>
      <c r="Q33" s="6"/>
      <c r="R33" s="6">
        <f t="shared" ref="R33" si="101">D33/$I33</f>
        <v>0.162985010804477</v>
      </c>
      <c r="S33" s="6">
        <f t="shared" ref="S33" si="102">E33/$I33</f>
        <v>0.10669014038262851</v>
      </c>
      <c r="T33" s="6"/>
      <c r="U33" s="6">
        <f t="shared" ref="U33" si="103">G33/$I33</f>
        <v>0.12562542102429289</v>
      </c>
      <c r="V33" s="6">
        <f t="shared" ref="V33:V34" si="104">H33/$I33</f>
        <v>0.38007996485191087</v>
      </c>
      <c r="W33" s="20">
        <f t="shared" ref="W33" si="105">SUM(P33:V33)</f>
        <v>1</v>
      </c>
      <c r="X33" s="7">
        <f t="shared" si="34"/>
        <v>0.61992003514808913</v>
      </c>
      <c r="Y33" s="7">
        <f t="shared" si="35"/>
        <v>0</v>
      </c>
      <c r="AA33">
        <f t="shared" ref="AA33" si="106">O33</f>
        <v>2016</v>
      </c>
      <c r="AB33" s="1" t="b">
        <f t="shared" si="36"/>
        <v>1</v>
      </c>
      <c r="AD33" s="1" t="b">
        <f t="shared" si="37"/>
        <v>1</v>
      </c>
      <c r="AE33" s="1" t="b">
        <f t="shared" si="38"/>
        <v>1</v>
      </c>
      <c r="AG33" s="1" t="b">
        <f t="shared" si="39"/>
        <v>1</v>
      </c>
      <c r="AH33" s="1" t="b">
        <f t="shared" si="40"/>
        <v>1</v>
      </c>
      <c r="AI33" s="1" t="b">
        <f t="shared" ref="AI33" si="107">AND((I33/$I33)&gt;0.999,(I33/$I33)&lt;1.01)</f>
        <v>1</v>
      </c>
      <c r="AK33">
        <f t="shared" ref="AK33" si="108">A33</f>
        <v>2016</v>
      </c>
      <c r="AL33" s="58">
        <f t="shared" ref="AL33" si="109">B33</f>
        <v>39791.986329577157</v>
      </c>
      <c r="AM33" s="58"/>
      <c r="AN33" s="58">
        <f t="shared" ref="AN33" si="110">D33</f>
        <v>28873.265197351488</v>
      </c>
      <c r="AO33" s="58">
        <f t="shared" ref="AO33" si="111">E33</f>
        <v>18900.466380345664</v>
      </c>
      <c r="AP33" s="58"/>
      <c r="AQ33" s="2">
        <f t="shared" ref="AQ33" si="112">G33</f>
        <v>22254.906011661955</v>
      </c>
      <c r="AR33" s="2">
        <f t="shared" ref="AR33" si="113">H33</f>
        <v>67332.263054142211</v>
      </c>
      <c r="AS33" s="2">
        <f t="shared" ref="AS33" si="114">I33</f>
        <v>177152.88697307848</v>
      </c>
      <c r="AT33" s="2">
        <f t="shared" ref="AT33" si="115">(SUM(AL33:AR33))-AS33</f>
        <v>0</v>
      </c>
    </row>
    <row r="34" spans="1:46" x14ac:dyDescent="0.2">
      <c r="A34">
        <f t="shared" si="4"/>
        <v>2017</v>
      </c>
      <c r="B34" s="2">
        <f t="shared" si="25"/>
        <v>48414.909767196521</v>
      </c>
      <c r="C34" s="2"/>
      <c r="D34" s="2">
        <f t="shared" si="26"/>
        <v>34532.425176032375</v>
      </c>
      <c r="E34" s="2">
        <f t="shared" si="27"/>
        <v>21943.441467581317</v>
      </c>
      <c r="F34" s="2"/>
      <c r="G34" s="2">
        <f t="shared" si="28"/>
        <v>28352.75025885733</v>
      </c>
      <c r="H34" s="2">
        <f t="shared" si="29"/>
        <v>69661.959355815532</v>
      </c>
      <c r="I34" s="2">
        <f t="shared" ref="I34:I35" si="116">SUM(B34:H34)</f>
        <v>202905.48602548306</v>
      </c>
      <c r="J34" s="2">
        <f t="shared" ref="J34:J35" si="117">I34-I33</f>
        <v>25752.599052404577</v>
      </c>
      <c r="K34" s="6">
        <f t="shared" ref="K34:K35" si="118">(J34/I33)</f>
        <v>0.14536934448219374</v>
      </c>
      <c r="L34" s="7">
        <f t="shared" ref="L34:L35" si="119">K34+1</f>
        <v>1.1453693444821937</v>
      </c>
      <c r="O34">
        <f t="shared" ref="O34:O35" si="120">A34</f>
        <v>2017</v>
      </c>
      <c r="P34" s="6">
        <f t="shared" ref="P34:P35" si="121">B34/$I34</f>
        <v>0.23860818509912568</v>
      </c>
      <c r="Q34" s="6"/>
      <c r="R34" s="6">
        <f t="shared" ref="R34:R35" si="122">D34/$I34</f>
        <v>0.17018970680613052</v>
      </c>
      <c r="S34" s="6">
        <f t="shared" ref="S34:S35" si="123">E34/$I34</f>
        <v>0.10814612210546846</v>
      </c>
      <c r="T34" s="6"/>
      <c r="U34" s="6">
        <f t="shared" ref="U34:U35" si="124">G34/$I34</f>
        <v>0.13973377858938957</v>
      </c>
      <c r="V34" s="34">
        <f t="shared" si="104"/>
        <v>0.34332220739988584</v>
      </c>
      <c r="W34" s="20">
        <f t="shared" ref="W34:W35" si="125">SUM(P34:V34)</f>
        <v>1</v>
      </c>
      <c r="X34" s="7">
        <f t="shared" si="34"/>
        <v>0.65667779260011416</v>
      </c>
      <c r="Y34" s="7">
        <f t="shared" si="35"/>
        <v>0</v>
      </c>
      <c r="AA34">
        <f t="shared" ref="AA34:AA35" si="126">O34</f>
        <v>2017</v>
      </c>
      <c r="AB34" s="1" t="b">
        <f t="shared" si="36"/>
        <v>1</v>
      </c>
      <c r="AD34" s="1" t="b">
        <f t="shared" si="37"/>
        <v>1</v>
      </c>
      <c r="AE34" s="1" t="b">
        <f t="shared" si="38"/>
        <v>1</v>
      </c>
      <c r="AG34" s="1" t="b">
        <f t="shared" si="39"/>
        <v>1</v>
      </c>
      <c r="AH34" s="35" t="b">
        <f t="shared" si="40"/>
        <v>0</v>
      </c>
      <c r="AI34" s="1" t="b">
        <f t="shared" ref="AI34:AI35" si="127">AND((I34/$I34)&gt;0.999,(I34/$I34)&lt;1.01)</f>
        <v>1</v>
      </c>
      <c r="AK34">
        <f t="shared" ref="AK34:AK35" si="128">A34</f>
        <v>2017</v>
      </c>
      <c r="AL34" s="24">
        <f>AL$23*$AS34</f>
        <v>40581.097205096616</v>
      </c>
      <c r="AM34" s="2"/>
      <c r="AN34" s="24">
        <f>AN$23*$AS34</f>
        <v>30435.822903822456</v>
      </c>
      <c r="AO34" s="24">
        <f>AO$23*$AS34</f>
        <v>20290.548602548308</v>
      </c>
      <c r="AP34" s="58"/>
      <c r="AQ34" s="24">
        <f>AQ$23*$AS34</f>
        <v>30435.822903822456</v>
      </c>
      <c r="AR34" s="24">
        <f>AR$23*$AS34</f>
        <v>81162.194410193231</v>
      </c>
      <c r="AS34" s="2">
        <f t="shared" ref="AS34:AS35" si="129">I34</f>
        <v>202905.48602548306</v>
      </c>
      <c r="AT34" s="2">
        <f t="shared" ref="AT34:AT35" si="130">(SUM(AL34:AR34))-AS34</f>
        <v>0</v>
      </c>
    </row>
    <row r="35" spans="1:46" x14ac:dyDescent="0.2">
      <c r="A35">
        <f t="shared" si="4"/>
        <v>2018</v>
      </c>
      <c r="B35" s="2">
        <f t="shared" si="25"/>
        <v>38754.94783086727</v>
      </c>
      <c r="C35" s="2"/>
      <c r="D35" s="2">
        <f t="shared" si="26"/>
        <v>27605.29137376697</v>
      </c>
      <c r="E35" s="2">
        <f t="shared" si="27"/>
        <v>18383.237033908768</v>
      </c>
      <c r="F35" s="2"/>
      <c r="G35" s="2">
        <f t="shared" si="28"/>
        <v>26022.6285827682</v>
      </c>
      <c r="H35" s="2">
        <f t="shared" si="29"/>
        <v>81081.032215783038</v>
      </c>
      <c r="I35" s="2">
        <f t="shared" si="116"/>
        <v>191847.13703709425</v>
      </c>
      <c r="J35" s="2">
        <f t="shared" si="117"/>
        <v>-11058.348988388811</v>
      </c>
      <c r="K35" s="6">
        <f t="shared" si="118"/>
        <v>-5.4499999999999924E-2</v>
      </c>
      <c r="L35" s="7">
        <f t="shared" si="119"/>
        <v>0.94550000000000012</v>
      </c>
      <c r="O35">
        <f t="shared" si="120"/>
        <v>2018</v>
      </c>
      <c r="P35" s="6">
        <f t="shared" si="121"/>
        <v>0.20200951877313592</v>
      </c>
      <c r="Q35" s="6"/>
      <c r="R35" s="6">
        <f t="shared" si="122"/>
        <v>0.14389212057112638</v>
      </c>
      <c r="S35" s="6">
        <f t="shared" si="123"/>
        <v>9.5822316234796409E-2</v>
      </c>
      <c r="T35" s="6"/>
      <c r="U35" s="6">
        <f t="shared" si="124"/>
        <v>0.13564251718667369</v>
      </c>
      <c r="V35" s="6">
        <f t="shared" ref="V35" si="131">H35/$I35</f>
        <v>0.42263352723426761</v>
      </c>
      <c r="W35" s="20">
        <f t="shared" si="125"/>
        <v>1</v>
      </c>
      <c r="X35" s="7">
        <f t="shared" si="34"/>
        <v>0.57736647276573239</v>
      </c>
      <c r="Y35" s="7">
        <f t="shared" si="35"/>
        <v>0</v>
      </c>
      <c r="AA35">
        <f t="shared" si="126"/>
        <v>2018</v>
      </c>
      <c r="AB35" s="1" t="b">
        <f t="shared" si="36"/>
        <v>1</v>
      </c>
      <c r="AD35" s="1" t="b">
        <f t="shared" si="37"/>
        <v>1</v>
      </c>
      <c r="AE35" s="1" t="b">
        <f t="shared" si="38"/>
        <v>1</v>
      </c>
      <c r="AG35" s="1" t="b">
        <f t="shared" si="39"/>
        <v>1</v>
      </c>
      <c r="AH35" s="1" t="b">
        <f t="shared" si="40"/>
        <v>1</v>
      </c>
      <c r="AI35" s="1" t="b">
        <f t="shared" si="127"/>
        <v>1</v>
      </c>
      <c r="AK35">
        <f t="shared" si="128"/>
        <v>2018</v>
      </c>
      <c r="AL35" s="58">
        <f t="shared" ref="AL35" si="132">B35</f>
        <v>38754.94783086727</v>
      </c>
      <c r="AM35" s="58"/>
      <c r="AN35" s="58">
        <f t="shared" ref="AN35" si="133">D35</f>
        <v>27605.29137376697</v>
      </c>
      <c r="AO35" s="58">
        <f t="shared" ref="AO35" si="134">E35</f>
        <v>18383.237033908768</v>
      </c>
      <c r="AP35" s="58"/>
      <c r="AQ35" s="2">
        <f t="shared" ref="AQ35" si="135">G35</f>
        <v>26022.6285827682</v>
      </c>
      <c r="AR35" s="2">
        <f t="shared" ref="AR35" si="136">H35</f>
        <v>81081.032215783038</v>
      </c>
      <c r="AS35" s="2">
        <f t="shared" si="129"/>
        <v>191847.13703709425</v>
      </c>
      <c r="AT35" s="2">
        <f t="shared" si="130"/>
        <v>0</v>
      </c>
    </row>
    <row r="36" spans="1:46" x14ac:dyDescent="0.2">
      <c r="A36">
        <f t="shared" ref="A36:A37" si="137">A16</f>
        <v>2019</v>
      </c>
      <c r="B36" s="2">
        <f t="shared" ref="B36:B37" si="138">AL35*(1+(B16/100))</f>
        <v>50945.704220544874</v>
      </c>
      <c r="C36" s="2"/>
      <c r="D36" s="2">
        <f t="shared" ref="D36:E36" si="139">AN35*(1+(D16/100))</f>
        <v>36171.654971708842</v>
      </c>
      <c r="E36" s="2">
        <f t="shared" si="139"/>
        <v>23414.251045926718</v>
      </c>
      <c r="F36" s="2"/>
      <c r="G36" s="2">
        <f t="shared" ref="G36:H36" si="140">AQ35*(1+(G16/100))</f>
        <v>31619.575538349982</v>
      </c>
      <c r="H36" s="2">
        <f t="shared" si="140"/>
        <v>88146.433363066375</v>
      </c>
      <c r="I36" s="2">
        <f t="shared" ref="I36:I37" si="141">SUM(B36:H36)</f>
        <v>230297.61913959679</v>
      </c>
      <c r="J36" s="2">
        <f t="shared" ref="J36:J37" si="142">I36-I35</f>
        <v>38450.482102502545</v>
      </c>
      <c r="K36" s="6">
        <f t="shared" ref="K36:K37" si="143">(J36/I35)</f>
        <v>0.20042249624537281</v>
      </c>
      <c r="L36" s="7">
        <f t="shared" ref="L36:L37" si="144">K36+1</f>
        <v>1.2004224962453729</v>
      </c>
      <c r="O36">
        <f t="shared" ref="O36:O37" si="145">A36</f>
        <v>2019</v>
      </c>
      <c r="P36" s="6">
        <f t="shared" ref="P36:P37" si="146">B36/$I36</f>
        <v>0.22121680810631272</v>
      </c>
      <c r="Q36" s="6"/>
      <c r="R36" s="6">
        <f t="shared" ref="R36:R37" si="147">D36/$I36</f>
        <v>0.15706482379995035</v>
      </c>
      <c r="S36" s="6">
        <f t="shared" ref="S36:S37" si="148">E36/$I36</f>
        <v>0.10166953151058838</v>
      </c>
      <c r="T36" s="6"/>
      <c r="U36" s="6">
        <f t="shared" ref="U36:U37" si="149">G36/$I36</f>
        <v>0.13729875131354927</v>
      </c>
      <c r="V36" s="6">
        <f t="shared" ref="V36:V37" si="150">H36/$I36</f>
        <v>0.3827500852695993</v>
      </c>
      <c r="W36" s="20">
        <f t="shared" ref="W36:W37" si="151">SUM(P36:V36)</f>
        <v>1</v>
      </c>
      <c r="X36" s="7">
        <f t="shared" ref="X36:X37" si="152">SUM(P36:U36)</f>
        <v>0.6172499147304007</v>
      </c>
      <c r="Y36" s="7">
        <f t="shared" ref="Y36:Y37" si="153">W36-(X36+V36)</f>
        <v>0</v>
      </c>
      <c r="AA36">
        <f t="shared" ref="AA36:AA37" si="154">O36</f>
        <v>2019</v>
      </c>
      <c r="AB36" s="1" t="b">
        <f t="shared" si="36"/>
        <v>1</v>
      </c>
      <c r="AD36" s="1" t="b">
        <f t="shared" si="37"/>
        <v>1</v>
      </c>
      <c r="AE36" s="1" t="b">
        <f t="shared" si="38"/>
        <v>1</v>
      </c>
      <c r="AG36" s="1" t="b">
        <f t="shared" si="39"/>
        <v>1</v>
      </c>
      <c r="AH36" s="1" t="b">
        <f t="shared" si="40"/>
        <v>1</v>
      </c>
      <c r="AI36" s="1" t="b">
        <f t="shared" ref="AI36:AI37" si="155">AND((I36/$I36)&gt;0.999,(I36/$I36)&lt;1.01)</f>
        <v>1</v>
      </c>
      <c r="AK36">
        <f t="shared" ref="AK36:AK37" si="156">A36</f>
        <v>2019</v>
      </c>
      <c r="AL36" s="58">
        <f t="shared" ref="AL36:AL37" si="157">B36</f>
        <v>50945.704220544874</v>
      </c>
      <c r="AM36" s="58"/>
      <c r="AN36" s="58">
        <f t="shared" ref="AN36:AN37" si="158">D36</f>
        <v>36171.654971708842</v>
      </c>
      <c r="AO36" s="58">
        <f t="shared" ref="AO36:AO37" si="159">E36</f>
        <v>23414.251045926718</v>
      </c>
      <c r="AP36" s="58"/>
      <c r="AQ36" s="2">
        <f t="shared" ref="AQ36:AQ37" si="160">G36</f>
        <v>31619.575538349982</v>
      </c>
      <c r="AR36" s="2">
        <f t="shared" ref="AR36:AR37" si="161">H36</f>
        <v>88146.433363066375</v>
      </c>
      <c r="AS36" s="2">
        <f t="shared" ref="AS36:AS37" si="162">I36</f>
        <v>230297.61913959679</v>
      </c>
      <c r="AT36" s="2">
        <f t="shared" ref="AT36:AT37" si="163">(SUM(AL36:AR36))-AS36</f>
        <v>0</v>
      </c>
    </row>
    <row r="37" spans="1:46" x14ac:dyDescent="0.2">
      <c r="A37">
        <f t="shared" si="137"/>
        <v>2020</v>
      </c>
      <c r="B37" s="2">
        <f t="shared" si="138"/>
        <v>60304.430085858963</v>
      </c>
      <c r="C37" s="2"/>
      <c r="D37" s="2">
        <f t="shared" ref="D37:E37" si="164">AN36*(1+(D17/100))</f>
        <v>42769.364838548528</v>
      </c>
      <c r="E37" s="2">
        <f t="shared" si="164"/>
        <v>27888.714420803313</v>
      </c>
      <c r="F37" s="2"/>
      <c r="G37" s="2">
        <f t="shared" ref="G37:H37" si="165">AQ36*(1+(G17/100))</f>
        <v>35186.263659075863</v>
      </c>
      <c r="H37" s="2">
        <f t="shared" si="165"/>
        <v>94951.338018695096</v>
      </c>
      <c r="I37" s="2">
        <f t="shared" si="141"/>
        <v>261100.11102298179</v>
      </c>
      <c r="J37" s="2">
        <f t="shared" si="142"/>
        <v>30802.491883384995</v>
      </c>
      <c r="K37" s="6">
        <f t="shared" si="143"/>
        <v>0.13375080471289549</v>
      </c>
      <c r="L37" s="7">
        <f t="shared" si="144"/>
        <v>1.1337508047128955</v>
      </c>
      <c r="O37">
        <f t="shared" si="145"/>
        <v>2020</v>
      </c>
      <c r="P37" s="6">
        <f t="shared" si="146"/>
        <v>0.23096286650200246</v>
      </c>
      <c r="Q37" s="6"/>
      <c r="R37" s="6">
        <f t="shared" si="147"/>
        <v>0.1638044682209423</v>
      </c>
      <c r="S37" s="6">
        <f t="shared" si="148"/>
        <v>0.10681234225269469</v>
      </c>
      <c r="T37" s="6"/>
      <c r="U37" s="6">
        <f t="shared" si="149"/>
        <v>0.1347615806106601</v>
      </c>
      <c r="V37" s="6">
        <f t="shared" si="150"/>
        <v>0.36365874241370033</v>
      </c>
      <c r="W37" s="20">
        <f t="shared" si="151"/>
        <v>0.99999999999999989</v>
      </c>
      <c r="X37" s="7">
        <f t="shared" si="152"/>
        <v>0.63634125758629956</v>
      </c>
      <c r="Y37" s="7">
        <f t="shared" si="153"/>
        <v>0</v>
      </c>
      <c r="AA37">
        <f t="shared" si="154"/>
        <v>2020</v>
      </c>
      <c r="AB37" s="1" t="b">
        <f t="shared" si="36"/>
        <v>1</v>
      </c>
      <c r="AD37" s="1" t="b">
        <f t="shared" si="37"/>
        <v>1</v>
      </c>
      <c r="AE37" s="1" t="b">
        <f t="shared" si="38"/>
        <v>1</v>
      </c>
      <c r="AG37" s="1" t="b">
        <f t="shared" si="39"/>
        <v>1</v>
      </c>
      <c r="AH37" s="1" t="b">
        <f t="shared" si="40"/>
        <v>1</v>
      </c>
      <c r="AI37" s="1" t="b">
        <f t="shared" si="155"/>
        <v>1</v>
      </c>
      <c r="AK37">
        <f t="shared" si="156"/>
        <v>2020</v>
      </c>
      <c r="AL37" s="58">
        <f t="shared" si="157"/>
        <v>60304.430085858963</v>
      </c>
      <c r="AM37" s="58"/>
      <c r="AN37" s="58">
        <f t="shared" si="158"/>
        <v>42769.364838548528</v>
      </c>
      <c r="AO37" s="58">
        <f t="shared" si="159"/>
        <v>27888.714420803313</v>
      </c>
      <c r="AP37" s="58"/>
      <c r="AQ37" s="2">
        <f t="shared" si="160"/>
        <v>35186.263659075863</v>
      </c>
      <c r="AR37" s="2">
        <f t="shared" si="161"/>
        <v>94951.338018695096</v>
      </c>
      <c r="AS37" s="2">
        <f t="shared" si="162"/>
        <v>261100.11102298179</v>
      </c>
      <c r="AT37" s="2">
        <f t="shared" si="163"/>
        <v>0</v>
      </c>
    </row>
    <row r="38" spans="1:46" x14ac:dyDescent="0.2">
      <c r="A38" s="9" t="s">
        <v>44</v>
      </c>
      <c r="B38" s="10">
        <f>AL37</f>
        <v>60304.430085858963</v>
      </c>
      <c r="C38" s="10"/>
      <c r="D38" s="10">
        <f>AN37</f>
        <v>42769.364838548528</v>
      </c>
      <c r="E38" s="10">
        <f>AO37</f>
        <v>27888.714420803313</v>
      </c>
      <c r="F38" s="10"/>
      <c r="G38" s="10">
        <f>AQ37</f>
        <v>35186.263659075863</v>
      </c>
      <c r="H38" s="10">
        <f>AR37</f>
        <v>94951.338018695096</v>
      </c>
      <c r="I38" s="10">
        <f>SUM(B38:H38)</f>
        <v>261100.11102298179</v>
      </c>
      <c r="J38" s="10"/>
      <c r="K38" s="10"/>
      <c r="O38" s="68" t="s">
        <v>169</v>
      </c>
      <c r="P38" s="69">
        <f>P37</f>
        <v>0.23096286650200246</v>
      </c>
      <c r="Q38" s="68"/>
      <c r="R38" s="69">
        <f>R37</f>
        <v>0.1638044682209423</v>
      </c>
      <c r="S38" s="68"/>
      <c r="T38" s="68"/>
      <c r="U38" s="69">
        <f>U37</f>
        <v>0.1347615806106601</v>
      </c>
      <c r="V38" s="69">
        <f>V37</f>
        <v>0.36365874241370033</v>
      </c>
      <c r="W38" s="69">
        <f>W37</f>
        <v>0.99999999999999989</v>
      </c>
      <c r="X38" s="69">
        <f>X37</f>
        <v>0.63634125758629956</v>
      </c>
      <c r="Y38" s="69">
        <f>Y37</f>
        <v>0</v>
      </c>
      <c r="Z38" s="73"/>
      <c r="AA38" s="73"/>
    </row>
    <row r="39" spans="1:46" x14ac:dyDescent="0.2">
      <c r="A39" s="11" t="s">
        <v>45</v>
      </c>
      <c r="I39" s="6">
        <f>(I38-I23)/I23</f>
        <v>1.6110011102298178</v>
      </c>
      <c r="K39" s="6"/>
      <c r="R39" s="7"/>
    </row>
    <row r="40" spans="1:46" x14ac:dyDescent="0.2">
      <c r="A40" s="1" t="s">
        <v>46</v>
      </c>
      <c r="I40" s="25">
        <f>STDEV(L24:L37)</f>
        <v>0.11777291454754747</v>
      </c>
      <c r="K40" s="26"/>
      <c r="S40" s="70"/>
      <c r="T40" s="70"/>
      <c r="U40" s="71" t="s">
        <v>170</v>
      </c>
      <c r="V40" s="70" t="b">
        <f>IF((V37=V38),TRUE,FALSE)</f>
        <v>1</v>
      </c>
      <c r="W40" s="70"/>
      <c r="X40" s="72" t="b">
        <f>IF(((SUM(P37:U37))=X38),TRUE,FALSE)</f>
        <v>1</v>
      </c>
      <c r="Y40" s="7"/>
      <c r="AA40" s="7"/>
    </row>
    <row r="41" spans="1:46" x14ac:dyDescent="0.2">
      <c r="A41" s="1" t="s">
        <v>47</v>
      </c>
      <c r="I41" s="13">
        <f>((1+I39)^(1/I46))-1</f>
        <v>7.0956750405714031E-2</v>
      </c>
      <c r="K41" s="26"/>
    </row>
    <row r="42" spans="1:46" x14ac:dyDescent="0.2">
      <c r="A42" s="1" t="s">
        <v>48</v>
      </c>
      <c r="I42" s="27">
        <f>J25</f>
        <v>-23585.275559000016</v>
      </c>
    </row>
    <row r="43" spans="1:46" x14ac:dyDescent="0.2">
      <c r="A43" s="1" t="s">
        <v>49</v>
      </c>
      <c r="I43" s="28">
        <f>K25</f>
        <v>-0.22002616362721292</v>
      </c>
    </row>
    <row r="44" spans="1:46" x14ac:dyDescent="0.2">
      <c r="A44" s="3" t="s">
        <v>50</v>
      </c>
      <c r="I44" s="29">
        <f>I38-I37</f>
        <v>0</v>
      </c>
    </row>
    <row r="45" spans="1:46" x14ac:dyDescent="0.2">
      <c r="A45" s="3" t="s">
        <v>134</v>
      </c>
      <c r="I45" s="29">
        <f>((SUM(J24:J37))-(I38-I23))</f>
        <v>0</v>
      </c>
    </row>
    <row r="46" spans="1:46" x14ac:dyDescent="0.2">
      <c r="A46" s="3" t="s">
        <v>139</v>
      </c>
      <c r="I46" s="3">
        <f>COUNTA(I24:I37)</f>
        <v>14</v>
      </c>
    </row>
    <row r="47" spans="1:46" x14ac:dyDescent="0.2">
      <c r="A47" s="80" t="s">
        <v>91</v>
      </c>
      <c r="B47" s="2"/>
      <c r="C47" s="2"/>
      <c r="D47" s="2"/>
      <c r="E47" s="2"/>
      <c r="G47" s="2"/>
      <c r="H47" s="2"/>
      <c r="I47" s="81">
        <f>X38</f>
        <v>0.63634125758629956</v>
      </c>
    </row>
    <row r="48" spans="1:46" x14ac:dyDescent="0.2">
      <c r="A48" s="80" t="s">
        <v>174</v>
      </c>
      <c r="B48" s="2"/>
      <c r="D48" s="2"/>
      <c r="E48" s="2"/>
      <c r="G48" s="2"/>
      <c r="H48" s="2"/>
      <c r="I48" s="81">
        <f>V38</f>
        <v>0.36365874241370033</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48"/>
  <sheetViews>
    <sheetView topLeftCell="A13" zoomScaleNormal="100" workbookViewId="0">
      <selection activeCell="A36" sqref="A36:XFD37"/>
    </sheetView>
  </sheetViews>
  <sheetFormatPr baseColWidth="10" defaultColWidth="8.83203125" defaultRowHeight="15" x14ac:dyDescent="0.2"/>
  <cols>
    <col min="1" max="1" width="25.5" customWidth="1"/>
    <col min="9" max="9" width="11.6640625" customWidth="1"/>
    <col min="10" max="10" width="10" bestFit="1" customWidth="1"/>
    <col min="28" max="28" width="10.83203125" bestFit="1" customWidth="1"/>
    <col min="35" max="35" width="9.33203125" bestFit="1" customWidth="1"/>
  </cols>
  <sheetData>
    <row r="1" spans="1:8" x14ac:dyDescent="0.2">
      <c r="A1" t="s">
        <v>17</v>
      </c>
    </row>
    <row r="2" spans="1:8" x14ac:dyDescent="0.2">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
      <c r="A4" s="16">
        <f>'Non-Rebalanced Strategy'!A4</f>
        <v>2007</v>
      </c>
      <c r="B4" s="16">
        <f>'Non-Rebalanced Strategy'!B4</f>
        <v>5.39</v>
      </c>
      <c r="C4" s="16">
        <f>'Non-Rebalanced Strategy'!C4</f>
        <v>0</v>
      </c>
      <c r="D4" s="17">
        <f>'Non-Rebalanced Strategy'!D4</f>
        <v>6.0209999999999999</v>
      </c>
      <c r="E4" s="17">
        <f>'Non-Rebalanced Strategy'!E4</f>
        <v>1.1559999999999999</v>
      </c>
      <c r="F4" s="16">
        <f>'Non-Rebalanced Strategy'!F4</f>
        <v>0</v>
      </c>
      <c r="G4" s="17">
        <f>'Non-Rebalanced Strategy'!G4</f>
        <v>15.522</v>
      </c>
      <c r="H4" s="17">
        <f>'Non-Rebalanced Strategy'!H4</f>
        <v>6.92</v>
      </c>
    </row>
    <row r="5" spans="1:8" x14ac:dyDescent="0.2">
      <c r="A5" s="16">
        <f>'Non-Rebalanced Strategy'!A5</f>
        <v>2008</v>
      </c>
      <c r="B5" s="16">
        <f>'Non-Rebalanced Strategy'!B5</f>
        <v>-37.020000000000003</v>
      </c>
      <c r="C5" s="16">
        <f>'Non-Rebalanced Strategy'!C5</f>
        <v>0</v>
      </c>
      <c r="D5" s="17">
        <f>'Non-Rebalanced Strategy'!D5</f>
        <v>-41.823999999999998</v>
      </c>
      <c r="E5" s="17">
        <f>'Non-Rebalanced Strategy'!E5</f>
        <v>-36.07</v>
      </c>
      <c r="F5" s="16">
        <f>'Non-Rebalanced Strategy'!F5</f>
        <v>0</v>
      </c>
      <c r="G5" s="17">
        <f>'Non-Rebalanced Strategy'!G5</f>
        <v>-44.100999999999999</v>
      </c>
      <c r="H5" s="17">
        <f>'Non-Rebalanced Strategy'!H5</f>
        <v>5.05</v>
      </c>
    </row>
    <row r="6" spans="1:8" x14ac:dyDescent="0.2">
      <c r="A6" s="16">
        <f>'Non-Rebalanced Strategy'!A6</f>
        <v>2009</v>
      </c>
      <c r="B6" s="16">
        <f>'Non-Rebalanced Strategy'!B6</f>
        <v>26.49</v>
      </c>
      <c r="C6" s="16">
        <f>'Non-Rebalanced Strategy'!C6</f>
        <v>0</v>
      </c>
      <c r="D6" s="17">
        <f>'Non-Rebalanced Strategy'!D6</f>
        <v>40.218000000000004</v>
      </c>
      <c r="E6" s="17">
        <f>'Non-Rebalanced Strategy'!E6</f>
        <v>36.118000000000002</v>
      </c>
      <c r="F6" s="16">
        <f>'Non-Rebalanced Strategy'!F6</f>
        <v>0</v>
      </c>
      <c r="G6" s="17">
        <f>'Non-Rebalanced Strategy'!G6</f>
        <v>36.726999999999997</v>
      </c>
      <c r="H6" s="17">
        <f>'Non-Rebalanced Strategy'!H6</f>
        <v>5.93</v>
      </c>
    </row>
    <row r="7" spans="1:8" x14ac:dyDescent="0.2">
      <c r="A7" s="16">
        <f>'Non-Rebalanced Strategy'!A7</f>
        <v>2010</v>
      </c>
      <c r="B7" s="16">
        <f>'Non-Rebalanced Strategy'!B7</f>
        <v>14.91</v>
      </c>
      <c r="C7" s="16">
        <f>'Non-Rebalanced Strategy'!C7</f>
        <v>0</v>
      </c>
      <c r="D7" s="17">
        <f>'Non-Rebalanced Strategy'!D7</f>
        <v>25.46</v>
      </c>
      <c r="E7" s="17">
        <f>'Non-Rebalanced Strategy'!E7</f>
        <v>27.72</v>
      </c>
      <c r="F7" s="16">
        <f>'Non-Rebalanced Strategy'!F7</f>
        <v>0</v>
      </c>
      <c r="G7" s="17">
        <f>'Non-Rebalanced Strategy'!G7</f>
        <v>11.12</v>
      </c>
      <c r="H7" s="17">
        <f>'Non-Rebalanced Strategy'!H7</f>
        <v>6.42</v>
      </c>
    </row>
    <row r="8" spans="1:8" x14ac:dyDescent="0.2">
      <c r="A8" s="16">
        <f>'Non-Rebalanced Strategy'!A8</f>
        <v>2011</v>
      </c>
      <c r="B8" s="16">
        <f>'Non-Rebalanced Strategy'!B8</f>
        <v>1.97</v>
      </c>
      <c r="C8" s="16">
        <f>'Non-Rebalanced Strategy'!C8</f>
        <v>0</v>
      </c>
      <c r="D8" s="17">
        <f>'Non-Rebalanced Strategy'!D8</f>
        <v>-2.11</v>
      </c>
      <c r="E8" s="17">
        <f>'Non-Rebalanced Strategy'!E8</f>
        <v>-2.8</v>
      </c>
      <c r="F8" s="16">
        <f>'Non-Rebalanced Strategy'!F8</f>
        <v>0</v>
      </c>
      <c r="G8" s="17">
        <f>'Non-Rebalanced Strategy'!G8</f>
        <v>-14.56</v>
      </c>
      <c r="H8" s="17">
        <f>'Non-Rebalanced Strategy'!H8</f>
        <v>7.56</v>
      </c>
    </row>
    <row r="9" spans="1:8" x14ac:dyDescent="0.2">
      <c r="A9" s="16">
        <f>'Non-Rebalanced Strategy'!A9</f>
        <v>2012</v>
      </c>
      <c r="B9" s="16">
        <f>'Non-Rebalanced Strategy'!B9</f>
        <v>15.82</v>
      </c>
      <c r="C9" s="16">
        <f>'Non-Rebalanced Strategy'!C9</f>
        <v>0</v>
      </c>
      <c r="D9" s="17">
        <f>'Non-Rebalanced Strategy'!D9</f>
        <v>15.8</v>
      </c>
      <c r="E9" s="17">
        <f>'Non-Rebalanced Strategy'!E9</f>
        <v>18.04</v>
      </c>
      <c r="F9" s="16">
        <f>'Non-Rebalanced Strategy'!F9</f>
        <v>0</v>
      </c>
      <c r="G9" s="17">
        <f>'Non-Rebalanced Strategy'!G9</f>
        <v>18.14</v>
      </c>
      <c r="H9" s="17">
        <f>'Non-Rebalanced Strategy'!H9</f>
        <v>4.05</v>
      </c>
    </row>
    <row r="10" spans="1:8" x14ac:dyDescent="0.2">
      <c r="A10" s="16">
        <f>'Non-Rebalanced Strategy'!A10</f>
        <v>2013</v>
      </c>
      <c r="B10" s="16">
        <f>'Non-Rebalanced Strategy'!B10</f>
        <v>32.18</v>
      </c>
      <c r="C10" s="16">
        <f>'Non-Rebalanced Strategy'!C10</f>
        <v>0</v>
      </c>
      <c r="D10" s="17">
        <f>'Non-Rebalanced Strategy'!D10</f>
        <v>35</v>
      </c>
      <c r="E10" s="17">
        <f>'Non-Rebalanced Strategy'!E10</f>
        <v>37.619999999999997</v>
      </c>
      <c r="F10" s="16">
        <f>'Non-Rebalanced Strategy'!F10</f>
        <v>0</v>
      </c>
      <c r="G10" s="17">
        <f>'Non-Rebalanced Strategy'!G10</f>
        <v>15.04</v>
      </c>
      <c r="H10" s="17">
        <f>'Non-Rebalanced Strategy'!H10</f>
        <v>-2.2599999999999998</v>
      </c>
    </row>
    <row r="11" spans="1:8" x14ac:dyDescent="0.2">
      <c r="A11" s="16">
        <f>'Non-Rebalanced Strategy'!A11</f>
        <v>2014</v>
      </c>
      <c r="B11" s="16">
        <f>'Non-Rebalanced Strategy'!B11</f>
        <v>13.51</v>
      </c>
      <c r="C11" s="16">
        <f>'Non-Rebalanced Strategy'!C11</f>
        <v>0</v>
      </c>
      <c r="D11" s="17">
        <f>'Non-Rebalanced Strategy'!D11</f>
        <v>13.6</v>
      </c>
      <c r="E11" s="17">
        <f>'Non-Rebalanced Strategy'!E11</f>
        <v>7.37</v>
      </c>
      <c r="F11" s="16">
        <f>'Non-Rebalanced Strategy'!F11</f>
        <v>0</v>
      </c>
      <c r="G11" s="17">
        <f>'Non-Rebalanced Strategy'!G11</f>
        <v>-4.24</v>
      </c>
      <c r="H11" s="17">
        <f>'Non-Rebalanced Strategy'!H11</f>
        <v>5.76</v>
      </c>
    </row>
    <row r="12" spans="1:8" x14ac:dyDescent="0.2">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row>
    <row r="16" spans="1:8" x14ac:dyDescent="0.2">
      <c r="A16" s="82">
        <f>'Non-Rebalanced Strategy'!A16</f>
        <v>2019</v>
      </c>
      <c r="B16" s="82">
        <f>'Non-Rebalanced Strategy'!B16</f>
        <v>31.456</v>
      </c>
      <c r="C16" s="82">
        <f>'Non-Rebalanced Strategy'!C16</f>
        <v>0</v>
      </c>
      <c r="D16" s="82">
        <f>'Non-Rebalanced Strategy'!D16</f>
        <v>31.031600000000001</v>
      </c>
      <c r="E16" s="82">
        <f>'Non-Rebalanced Strategy'!E16</f>
        <v>27.3674</v>
      </c>
      <c r="F16" s="82">
        <f>'Non-Rebalanced Strategy'!F16</f>
        <v>0</v>
      </c>
      <c r="G16" s="82">
        <f>'Non-Rebalanced Strategy'!G16</f>
        <v>21.507999999999999</v>
      </c>
      <c r="H16" s="82">
        <f>'Non-Rebalanced Strategy'!H16</f>
        <v>8.7140000000000004</v>
      </c>
    </row>
    <row r="17" spans="1:36" x14ac:dyDescent="0.2">
      <c r="A17" s="82">
        <f>'Non-Rebalanced Strategy'!A17</f>
        <v>2020</v>
      </c>
      <c r="B17" s="82">
        <f>'Non-Rebalanced Strategy'!B17</f>
        <v>18.37</v>
      </c>
      <c r="C17" s="82">
        <f>'Non-Rebalanced Strategy'!C17</f>
        <v>0</v>
      </c>
      <c r="D17" s="82">
        <f>'Non-Rebalanced Strategy'!D17</f>
        <v>18.239999999999998</v>
      </c>
      <c r="E17" s="82">
        <f>'Non-Rebalanced Strategy'!E17</f>
        <v>19.11</v>
      </c>
      <c r="F17" s="82">
        <f>'Non-Rebalanced Strategy'!F17</f>
        <v>0</v>
      </c>
      <c r="G17" s="82">
        <f>'Non-Rebalanced Strategy'!G17</f>
        <v>11.28</v>
      </c>
      <c r="H17" s="82">
        <f>'Non-Rebalanced Strategy'!H17</f>
        <v>7.72</v>
      </c>
    </row>
    <row r="20" spans="1:36" x14ac:dyDescent="0.2">
      <c r="A20" s="18" t="s">
        <v>99</v>
      </c>
      <c r="O20" s="18" t="s">
        <v>100</v>
      </c>
      <c r="AA20" s="18" t="s">
        <v>85</v>
      </c>
    </row>
    <row r="21" spans="1:36" x14ac:dyDescent="0.2">
      <c r="B21" s="4" t="str">
        <f t="shared" ref="B21:H22" si="0">B2</f>
        <v>LC Stocks</v>
      </c>
      <c r="C21" s="4" t="str">
        <f t="shared" si="0"/>
        <v>Ext Mkt</v>
      </c>
      <c r="D21" s="4" t="str">
        <f t="shared" si="0"/>
        <v>Mcap Stk</v>
      </c>
      <c r="E21" s="4" t="str">
        <f t="shared" si="0"/>
        <v>Small Cap</v>
      </c>
      <c r="F21" s="4" t="str">
        <f t="shared" si="0"/>
        <v>Intl Val</v>
      </c>
      <c r="G21" s="4" t="str">
        <f t="shared" si="0"/>
        <v>Tot Int Stk</v>
      </c>
      <c r="H21" s="4" t="str">
        <f t="shared" si="0"/>
        <v>Bonds</v>
      </c>
      <c r="I21" s="5"/>
      <c r="J21" s="5" t="s">
        <v>42</v>
      </c>
      <c r="K21" s="5" t="s">
        <v>39</v>
      </c>
      <c r="L21" s="5" t="s">
        <v>40</v>
      </c>
      <c r="P21" s="4" t="str">
        <f>B21</f>
        <v>LC Stocks</v>
      </c>
      <c r="Q21" s="4" t="str">
        <f t="shared" ref="Q21:V22" si="1">C21</f>
        <v>Ext Mkt</v>
      </c>
      <c r="R21" s="4" t="str">
        <f t="shared" si="1"/>
        <v>Mcap Stk</v>
      </c>
      <c r="S21" s="4" t="str">
        <f t="shared" si="1"/>
        <v>Small Cap</v>
      </c>
      <c r="T21" s="4" t="str">
        <f t="shared" si="1"/>
        <v>Intl Val</v>
      </c>
      <c r="U21" s="4" t="str">
        <f t="shared" si="1"/>
        <v>Tot Int Stk</v>
      </c>
      <c r="V21" s="4" t="str">
        <f t="shared" si="1"/>
        <v>Bonds</v>
      </c>
      <c r="W21" s="5"/>
      <c r="X21" s="5" t="s">
        <v>171</v>
      </c>
      <c r="Y21" s="3" t="s">
        <v>172</v>
      </c>
      <c r="AB21" s="4" t="str">
        <f t="shared" ref="AB21:AH22" si="2">P21</f>
        <v>LC Stocks</v>
      </c>
      <c r="AC21" s="4" t="str">
        <f t="shared" si="2"/>
        <v>Ext Mkt</v>
      </c>
      <c r="AD21" s="4" t="str">
        <f t="shared" si="2"/>
        <v>Mcap Stk</v>
      </c>
      <c r="AE21" s="4" t="str">
        <f t="shared" si="2"/>
        <v>Small Cap</v>
      </c>
      <c r="AF21" s="4" t="str">
        <f t="shared" si="2"/>
        <v>Intl Val</v>
      </c>
      <c r="AG21" s="4" t="str">
        <f t="shared" si="2"/>
        <v>Tot Int Stk</v>
      </c>
      <c r="AH21" s="4" t="str">
        <f t="shared" si="2"/>
        <v>Bonds</v>
      </c>
      <c r="AI21" s="4"/>
      <c r="AJ21" t="s">
        <v>54</v>
      </c>
    </row>
    <row r="22" spans="1:36" x14ac:dyDescent="0.2">
      <c r="A22" t="s">
        <v>38</v>
      </c>
      <c r="B22" s="4" t="str">
        <f t="shared" si="0"/>
        <v>VFINX</v>
      </c>
      <c r="C22" s="4" t="str">
        <f t="shared" si="0"/>
        <v>VEXMX</v>
      </c>
      <c r="D22" s="4" t="str">
        <f t="shared" si="0"/>
        <v>VIMSX</v>
      </c>
      <c r="E22" s="4" t="str">
        <f t="shared" si="0"/>
        <v>NAESX</v>
      </c>
      <c r="F22" s="4" t="str">
        <f t="shared" si="0"/>
        <v>VTRIX</v>
      </c>
      <c r="G22" s="4" t="str">
        <f t="shared" si="0"/>
        <v>VGTSX</v>
      </c>
      <c r="H22" s="4" t="str">
        <f t="shared" si="0"/>
        <v>VBMFX</v>
      </c>
      <c r="I22" s="5" t="s">
        <v>36</v>
      </c>
      <c r="J22" s="5" t="s">
        <v>43</v>
      </c>
      <c r="K22" s="5" t="s">
        <v>41</v>
      </c>
      <c r="L22" s="5" t="s">
        <v>41</v>
      </c>
      <c r="O22" t="s">
        <v>38</v>
      </c>
      <c r="P22" s="4" t="str">
        <f>B22</f>
        <v>VFINX</v>
      </c>
      <c r="Q22" s="4" t="str">
        <f t="shared" si="1"/>
        <v>VEXMX</v>
      </c>
      <c r="R22" s="4" t="str">
        <f t="shared" si="1"/>
        <v>VIMSX</v>
      </c>
      <c r="S22" s="4" t="str">
        <f t="shared" si="1"/>
        <v>NAESX</v>
      </c>
      <c r="T22" s="4" t="str">
        <f t="shared" si="1"/>
        <v>VTRIX</v>
      </c>
      <c r="U22" s="4" t="str">
        <f t="shared" si="1"/>
        <v>VGTSX</v>
      </c>
      <c r="V22" s="4" t="str">
        <f t="shared" si="1"/>
        <v>VBMFX</v>
      </c>
      <c r="W22" s="5" t="s">
        <v>36</v>
      </c>
      <c r="X22" s="5" t="s">
        <v>172</v>
      </c>
      <c r="Y22" s="3" t="s">
        <v>53</v>
      </c>
      <c r="AA22" t="str">
        <f>A22</f>
        <v>Fund</v>
      </c>
      <c r="AB22" s="4" t="str">
        <f t="shared" si="2"/>
        <v>VFINX</v>
      </c>
      <c r="AC22" s="4" t="str">
        <f t="shared" si="2"/>
        <v>VEXMX</v>
      </c>
      <c r="AD22" s="4" t="str">
        <f t="shared" si="2"/>
        <v>VIMSX</v>
      </c>
      <c r="AE22" s="4" t="str">
        <f t="shared" si="2"/>
        <v>NAESX</v>
      </c>
      <c r="AF22" s="4" t="str">
        <f t="shared" si="2"/>
        <v>VTRIX</v>
      </c>
      <c r="AG22" s="4" t="str">
        <f t="shared" si="2"/>
        <v>VGTSX</v>
      </c>
      <c r="AH22" s="4" t="str">
        <f t="shared" si="2"/>
        <v>VBMFX</v>
      </c>
      <c r="AI22" s="4" t="str">
        <f>W22</f>
        <v>Total</v>
      </c>
      <c r="AJ22" t="s">
        <v>53</v>
      </c>
    </row>
    <row r="23" spans="1:36" x14ac:dyDescent="0.2">
      <c r="A23" t="s">
        <v>37</v>
      </c>
      <c r="B23" s="2">
        <f>'Non-Rebalanced Strategy'!B23</f>
        <v>20000</v>
      </c>
      <c r="C23" s="2"/>
      <c r="D23" s="2">
        <f>'Non-Rebalanced Strategy'!D23</f>
        <v>15000</v>
      </c>
      <c r="E23" s="2">
        <f>'Non-Rebalanced Strategy'!E23</f>
        <v>10000</v>
      </c>
      <c r="F23" s="2"/>
      <c r="G23" s="2">
        <f>'Non-Rebalanced Strategy'!G23</f>
        <v>15000</v>
      </c>
      <c r="H23" s="2">
        <f>'Non-Rebalanced Strategy'!H23</f>
        <v>40000</v>
      </c>
      <c r="I23" s="2">
        <f>SUM(B23:H23)</f>
        <v>100000</v>
      </c>
      <c r="O23" s="19" t="s">
        <v>52</v>
      </c>
      <c r="P23" s="20">
        <f>B23/$I23</f>
        <v>0.2</v>
      </c>
      <c r="Q23" s="20"/>
      <c r="R23" s="20">
        <f>D23/$I23</f>
        <v>0.15</v>
      </c>
      <c r="S23" s="20">
        <f>E23/$I23</f>
        <v>0.1</v>
      </c>
      <c r="T23" s="20"/>
      <c r="U23" s="20">
        <f>G23/$I23</f>
        <v>0.15</v>
      </c>
      <c r="V23" s="20">
        <f>H23/$I23</f>
        <v>0.4</v>
      </c>
      <c r="W23" s="20">
        <f>I23/$I23</f>
        <v>1</v>
      </c>
      <c r="X23" s="22"/>
      <c r="Z23" s="22"/>
      <c r="AA23" t="str">
        <f>A23</f>
        <v>Stating Balance</v>
      </c>
      <c r="AB23" s="2">
        <f>B23</f>
        <v>20000</v>
      </c>
      <c r="AC23" s="2"/>
      <c r="AD23" s="2">
        <f>D23</f>
        <v>15000</v>
      </c>
      <c r="AE23" s="2">
        <f>E23</f>
        <v>10000</v>
      </c>
      <c r="AF23" s="2"/>
      <c r="AG23" s="2">
        <f>G23</f>
        <v>15000</v>
      </c>
      <c r="AH23" s="2">
        <f>H23</f>
        <v>40000</v>
      </c>
      <c r="AI23" s="2">
        <f>SUM(AB23:AH23)</f>
        <v>100000</v>
      </c>
      <c r="AJ23" s="2">
        <f>AI23-I23</f>
        <v>0</v>
      </c>
    </row>
    <row r="24" spans="1:36" x14ac:dyDescent="0.2">
      <c r="A24">
        <f t="shared" ref="A24:A35" si="3">A4</f>
        <v>2007</v>
      </c>
      <c r="B24" s="2">
        <f>B$23*(1+(B4/100))</f>
        <v>21078</v>
      </c>
      <c r="C24" s="2"/>
      <c r="D24" s="2">
        <f>D$23*(1+(D4/100))</f>
        <v>15903.150000000001</v>
      </c>
      <c r="E24" s="2">
        <f>E$23*(1+(E4/100))</f>
        <v>10115.6</v>
      </c>
      <c r="F24" s="2"/>
      <c r="G24" s="2">
        <f>G$23*(1+(G4/100))</f>
        <v>17328.3</v>
      </c>
      <c r="H24" s="2">
        <f>H$23*(1+(H4/100))</f>
        <v>42768</v>
      </c>
      <c r="I24" s="2">
        <f t="shared" ref="I24:I28" si="4">SUM(B24:H24)</f>
        <v>107193.05</v>
      </c>
      <c r="J24" s="2">
        <f t="shared" ref="J24" si="5">I24-I23</f>
        <v>7193.0500000000029</v>
      </c>
      <c r="K24" s="6">
        <f t="shared" ref="K24" si="6">(J24/I23)</f>
        <v>7.1930500000000022E-2</v>
      </c>
      <c r="L24" s="7">
        <f t="shared" ref="L24" si="7">K24+1</f>
        <v>1.0719305000000001</v>
      </c>
      <c r="O24">
        <f t="shared" ref="O24:O27" si="8">A24</f>
        <v>2007</v>
      </c>
      <c r="P24" s="6">
        <f t="shared" ref="P24:U27" si="9">B24/$I24</f>
        <v>0.19663588264351092</v>
      </c>
      <c r="Q24" s="6"/>
      <c r="R24" s="6">
        <f t="shared" ref="R24:R27" si="10">D24/$I24</f>
        <v>0.14835989833296095</v>
      </c>
      <c r="S24" s="6">
        <f t="shared" ref="S24:S27" si="11">E24/$I24</f>
        <v>9.4368058376919028E-2</v>
      </c>
      <c r="T24" s="6"/>
      <c r="U24" s="6">
        <f t="shared" si="9"/>
        <v>0.16165506998821286</v>
      </c>
      <c r="V24" s="6">
        <f t="shared" ref="V24:V27" si="12">H24/$I24</f>
        <v>0.39898109065839621</v>
      </c>
      <c r="W24" s="20">
        <f>SUM(P24:V24)</f>
        <v>1</v>
      </c>
      <c r="X24" s="7">
        <f>SUM(P24:U24)</f>
        <v>0.60101890934160374</v>
      </c>
      <c r="Y24" s="7">
        <f>W24-(X24+V24)</f>
        <v>0</v>
      </c>
      <c r="Z24" s="22"/>
      <c r="AA24">
        <f t="shared" ref="AA24:AA27" si="13">O24</f>
        <v>2007</v>
      </c>
      <c r="AB24" s="2">
        <f t="shared" ref="AB24" si="14">B24</f>
        <v>21078</v>
      </c>
      <c r="AC24" s="2"/>
      <c r="AD24" s="2">
        <f t="shared" ref="AD24" si="15">D24</f>
        <v>15903.150000000001</v>
      </c>
      <c r="AE24" s="2">
        <f t="shared" ref="AE24" si="16">E24</f>
        <v>10115.6</v>
      </c>
      <c r="AF24" s="2"/>
      <c r="AG24" s="2">
        <f t="shared" ref="AG24" si="17">G24</f>
        <v>17328.3</v>
      </c>
      <c r="AH24" s="2">
        <f t="shared" ref="AH24" si="18">H24</f>
        <v>42768</v>
      </c>
      <c r="AI24" s="2">
        <f t="shared" ref="AI24:AI27" si="19">SUM(AB24:AH24)</f>
        <v>107193.05</v>
      </c>
      <c r="AJ24" s="2">
        <f t="shared" ref="AJ24:AJ27" si="20">AI24-I24</f>
        <v>0</v>
      </c>
    </row>
    <row r="25" spans="1:36" x14ac:dyDescent="0.2">
      <c r="A25">
        <f t="shared" si="3"/>
        <v>2008</v>
      </c>
      <c r="B25" s="2">
        <f t="shared" ref="B25:B35" si="21">AB24*(1+(B5/100))</f>
        <v>13274.924399999998</v>
      </c>
      <c r="C25" s="2"/>
      <c r="D25" s="2">
        <f t="shared" ref="D25:D35" si="22">AD24*(1+(D5/100))</f>
        <v>9251.8165440000012</v>
      </c>
      <c r="E25" s="2">
        <f t="shared" ref="E25:E35" si="23">AE24*(1+(E5/100))</f>
        <v>6466.90308</v>
      </c>
      <c r="F25" s="2"/>
      <c r="G25" s="2">
        <f t="shared" ref="G25:G35" si="24">AG24*(1+(G5/100))</f>
        <v>9686.3464169999988</v>
      </c>
      <c r="H25" s="2">
        <f t="shared" ref="H25:H35" si="25">AH24*(1+(H5/100))</f>
        <v>44927.784</v>
      </c>
      <c r="I25" s="2">
        <f t="shared" si="4"/>
        <v>83607.774440999987</v>
      </c>
      <c r="J25" s="2">
        <f t="shared" ref="J25:J28" si="26">I25-I24</f>
        <v>-23585.275559000016</v>
      </c>
      <c r="K25" s="6">
        <f t="shared" ref="K25:K28" si="27">(J25/I24)</f>
        <v>-0.22002616362721292</v>
      </c>
      <c r="L25" s="7">
        <f t="shared" ref="L25:L28" si="28">K25+1</f>
        <v>0.77997383637278705</v>
      </c>
      <c r="O25">
        <f t="shared" si="8"/>
        <v>2008</v>
      </c>
      <c r="P25" s="6">
        <f t="shared" si="9"/>
        <v>0.15877619621806577</v>
      </c>
      <c r="Q25" s="6"/>
      <c r="R25" s="6">
        <f t="shared" si="10"/>
        <v>0.11065737134922528</v>
      </c>
      <c r="S25" s="6">
        <f t="shared" si="11"/>
        <v>7.7348106958205654E-2</v>
      </c>
      <c r="T25" s="6"/>
      <c r="U25" s="6">
        <f t="shared" si="9"/>
        <v>0.11585461378158586</v>
      </c>
      <c r="V25" s="6">
        <f t="shared" si="12"/>
        <v>0.53736371169291752</v>
      </c>
      <c r="W25" s="20">
        <f t="shared" ref="W25:W27" si="29">SUM(P25:V25)</f>
        <v>1</v>
      </c>
      <c r="X25" s="7">
        <f t="shared" ref="X25:X35" si="30">SUM(P25:U25)</f>
        <v>0.46263628830708253</v>
      </c>
      <c r="Y25" s="7">
        <f t="shared" ref="Y25:Y35" si="31">W25-(X25+V25)</f>
        <v>0</v>
      </c>
      <c r="Z25" s="22"/>
      <c r="AA25">
        <f t="shared" si="13"/>
        <v>2008</v>
      </c>
      <c r="AB25" s="36">
        <v>0</v>
      </c>
      <c r="AC25" s="36"/>
      <c r="AD25" s="36">
        <v>0</v>
      </c>
      <c r="AE25" s="36">
        <v>0</v>
      </c>
      <c r="AF25" s="36"/>
      <c r="AG25" s="36">
        <v>0</v>
      </c>
      <c r="AH25" s="36">
        <f>I25</f>
        <v>83607.774440999987</v>
      </c>
      <c r="AI25" s="2">
        <f t="shared" si="19"/>
        <v>83607.774440999987</v>
      </c>
      <c r="AJ25" s="2">
        <f t="shared" si="20"/>
        <v>0</v>
      </c>
    </row>
    <row r="26" spans="1:36" x14ac:dyDescent="0.2">
      <c r="A26">
        <f t="shared" si="3"/>
        <v>2009</v>
      </c>
      <c r="B26" s="2">
        <f t="shared" si="21"/>
        <v>0</v>
      </c>
      <c r="C26" s="2"/>
      <c r="D26" s="2">
        <f t="shared" si="22"/>
        <v>0</v>
      </c>
      <c r="E26" s="2">
        <f t="shared" si="23"/>
        <v>0</v>
      </c>
      <c r="F26" s="2"/>
      <c r="G26" s="2">
        <f t="shared" si="24"/>
        <v>0</v>
      </c>
      <c r="H26" s="2">
        <f t="shared" si="25"/>
        <v>88565.715465351284</v>
      </c>
      <c r="I26" s="2">
        <f t="shared" si="4"/>
        <v>88565.715465351284</v>
      </c>
      <c r="J26" s="2">
        <f t="shared" si="26"/>
        <v>4957.9410243512975</v>
      </c>
      <c r="K26" s="6">
        <f t="shared" si="27"/>
        <v>5.9299999999999978E-2</v>
      </c>
      <c r="L26" s="7">
        <f t="shared" si="28"/>
        <v>1.0592999999999999</v>
      </c>
      <c r="O26">
        <f t="shared" si="8"/>
        <v>2009</v>
      </c>
      <c r="P26" s="6">
        <f t="shared" si="9"/>
        <v>0</v>
      </c>
      <c r="Q26" s="6"/>
      <c r="R26" s="6">
        <f t="shared" si="10"/>
        <v>0</v>
      </c>
      <c r="S26" s="6">
        <f t="shared" si="11"/>
        <v>0</v>
      </c>
      <c r="T26" s="6"/>
      <c r="U26" s="6">
        <f t="shared" si="9"/>
        <v>0</v>
      </c>
      <c r="V26" s="6">
        <f t="shared" si="12"/>
        <v>1</v>
      </c>
      <c r="W26" s="20">
        <f t="shared" si="29"/>
        <v>1</v>
      </c>
      <c r="X26" s="7">
        <f t="shared" si="30"/>
        <v>0</v>
      </c>
      <c r="Y26" s="7">
        <f t="shared" si="31"/>
        <v>0</v>
      </c>
      <c r="Z26" s="22"/>
      <c r="AA26">
        <f t="shared" si="13"/>
        <v>2009</v>
      </c>
      <c r="AB26" s="36">
        <f>$I26*P$23</f>
        <v>17713.143093070259</v>
      </c>
      <c r="AC26" s="36"/>
      <c r="AD26" s="36">
        <f>$I26*R$23</f>
        <v>13284.857319802692</v>
      </c>
      <c r="AE26" s="36">
        <f>$I26*S$23</f>
        <v>8856.5715465351295</v>
      </c>
      <c r="AF26" s="36"/>
      <c r="AG26" s="36">
        <f>$I26*U$23</f>
        <v>13284.857319802692</v>
      </c>
      <c r="AH26" s="36">
        <f>$I26*V$23</f>
        <v>35426.286186140518</v>
      </c>
      <c r="AI26" s="2">
        <f t="shared" si="19"/>
        <v>88565.715465351299</v>
      </c>
      <c r="AJ26" s="2">
        <f t="shared" si="20"/>
        <v>0</v>
      </c>
    </row>
    <row r="27" spans="1:36" x14ac:dyDescent="0.2">
      <c r="A27">
        <f t="shared" si="3"/>
        <v>2010</v>
      </c>
      <c r="B27" s="2">
        <f t="shared" si="21"/>
        <v>20354.172728247035</v>
      </c>
      <c r="C27" s="2"/>
      <c r="D27" s="2">
        <f t="shared" si="22"/>
        <v>16667.181993424456</v>
      </c>
      <c r="E27" s="2">
        <f t="shared" si="23"/>
        <v>11311.613179234668</v>
      </c>
      <c r="F27" s="2"/>
      <c r="G27" s="2">
        <f t="shared" si="24"/>
        <v>14762.133453764751</v>
      </c>
      <c r="H27" s="2">
        <f t="shared" si="25"/>
        <v>37700.653759290741</v>
      </c>
      <c r="I27" s="2">
        <f t="shared" si="4"/>
        <v>100795.75511396166</v>
      </c>
      <c r="J27" s="2">
        <f t="shared" si="26"/>
        <v>12230.039648610371</v>
      </c>
      <c r="K27" s="6">
        <f t="shared" si="27"/>
        <v>0.13809000000000013</v>
      </c>
      <c r="L27" s="7">
        <f t="shared" si="28"/>
        <v>1.13809</v>
      </c>
      <c r="O27">
        <f t="shared" si="8"/>
        <v>2010</v>
      </c>
      <c r="P27" s="6">
        <f t="shared" si="9"/>
        <v>0.20193482062051332</v>
      </c>
      <c r="Q27" s="6"/>
      <c r="R27" s="6">
        <f t="shared" si="10"/>
        <v>0.16535599117820204</v>
      </c>
      <c r="S27" s="6">
        <f t="shared" si="11"/>
        <v>0.11222311065030006</v>
      </c>
      <c r="T27" s="6"/>
      <c r="U27" s="6">
        <f t="shared" si="9"/>
        <v>0.14645590419035398</v>
      </c>
      <c r="V27" s="6">
        <f t="shared" si="12"/>
        <v>0.37403017336063055</v>
      </c>
      <c r="W27" s="20">
        <f t="shared" si="29"/>
        <v>1</v>
      </c>
      <c r="X27" s="7">
        <f t="shared" si="30"/>
        <v>0.6259698266393694</v>
      </c>
      <c r="Y27" s="7">
        <f t="shared" si="31"/>
        <v>0</v>
      </c>
      <c r="Z27" s="22"/>
      <c r="AA27">
        <f t="shared" si="13"/>
        <v>2010</v>
      </c>
      <c r="AB27" s="2">
        <f t="shared" ref="AB27" si="32">B27</f>
        <v>20354.172728247035</v>
      </c>
      <c r="AC27" s="2"/>
      <c r="AD27" s="2">
        <f t="shared" ref="AD27" si="33">D27</f>
        <v>16667.181993424456</v>
      </c>
      <c r="AE27" s="2">
        <f t="shared" ref="AE27" si="34">E27</f>
        <v>11311.613179234668</v>
      </c>
      <c r="AF27" s="2"/>
      <c r="AG27" s="2">
        <f t="shared" ref="AG27" si="35">G27</f>
        <v>14762.133453764751</v>
      </c>
      <c r="AH27" s="2">
        <f t="shared" ref="AH27" si="36">H27</f>
        <v>37700.653759290741</v>
      </c>
      <c r="AI27" s="2">
        <f t="shared" si="19"/>
        <v>100795.75511396166</v>
      </c>
      <c r="AJ27" s="2">
        <f t="shared" si="20"/>
        <v>0</v>
      </c>
    </row>
    <row r="28" spans="1:36" x14ac:dyDescent="0.2">
      <c r="A28">
        <f t="shared" si="3"/>
        <v>2011</v>
      </c>
      <c r="B28" s="2">
        <f t="shared" si="21"/>
        <v>20755.149930993502</v>
      </c>
      <c r="C28" s="2"/>
      <c r="D28" s="2">
        <f t="shared" si="22"/>
        <v>16315.504453363199</v>
      </c>
      <c r="E28" s="2">
        <f t="shared" si="23"/>
        <v>10994.888010216097</v>
      </c>
      <c r="F28" s="2"/>
      <c r="G28" s="2">
        <f t="shared" si="24"/>
        <v>12612.766822896603</v>
      </c>
      <c r="H28" s="2">
        <f t="shared" si="25"/>
        <v>40550.823183493128</v>
      </c>
      <c r="I28" s="2">
        <f t="shared" si="4"/>
        <v>101229.13240096252</v>
      </c>
      <c r="J28" s="2">
        <f t="shared" si="26"/>
        <v>433.37728700086882</v>
      </c>
      <c r="K28" s="6">
        <f t="shared" si="27"/>
        <v>4.2995589101037434E-3</v>
      </c>
      <c r="L28" s="7">
        <f t="shared" si="28"/>
        <v>1.0042995589101038</v>
      </c>
      <c r="O28">
        <f t="shared" ref="O28:O31" si="37">A28</f>
        <v>2011</v>
      </c>
      <c r="P28" s="6">
        <f t="shared" ref="P28:P31" si="38">B28/$I28</f>
        <v>0.20503139203824841</v>
      </c>
      <c r="Q28" s="6"/>
      <c r="R28" s="6">
        <f t="shared" ref="R28:R31" si="39">D28/$I28</f>
        <v>0.16117400264519174</v>
      </c>
      <c r="S28" s="6">
        <f t="shared" ref="S28:S31" si="40">E28/$I28</f>
        <v>0.10861387181178245</v>
      </c>
      <c r="T28" s="6"/>
      <c r="U28" s="6">
        <f t="shared" ref="U28:U31" si="41">G28/$I28</f>
        <v>0.12459621577055693</v>
      </c>
      <c r="V28" s="6">
        <f t="shared" ref="V28:V31" si="42">H28/$I28</f>
        <v>0.40058451773422049</v>
      </c>
      <c r="W28" s="20">
        <f t="shared" ref="W28:W31" si="43">SUM(P28:V28)</f>
        <v>1</v>
      </c>
      <c r="X28" s="7">
        <f t="shared" si="30"/>
        <v>0.59941548226577956</v>
      </c>
      <c r="Y28" s="7">
        <f t="shared" si="31"/>
        <v>0</v>
      </c>
      <c r="Z28" s="22"/>
      <c r="AA28">
        <f t="shared" ref="AA28:AA31" si="44">O28</f>
        <v>2011</v>
      </c>
      <c r="AB28" s="2">
        <f t="shared" ref="AB28:AB31" si="45">B28</f>
        <v>20755.149930993502</v>
      </c>
      <c r="AC28" s="2"/>
      <c r="AD28" s="2">
        <f t="shared" ref="AD28:AD31" si="46">D28</f>
        <v>16315.504453363199</v>
      </c>
      <c r="AE28" s="2">
        <f t="shared" ref="AE28:AE31" si="47">E28</f>
        <v>10994.888010216097</v>
      </c>
      <c r="AF28" s="2"/>
      <c r="AG28" s="2">
        <f t="shared" ref="AG28:AG31" si="48">G28</f>
        <v>12612.766822896603</v>
      </c>
      <c r="AH28" s="2">
        <f t="shared" ref="AH28:AH31" si="49">H28</f>
        <v>40550.823183493128</v>
      </c>
      <c r="AI28" s="2">
        <f t="shared" ref="AI28:AI31" si="50">SUM(AB28:AH28)</f>
        <v>101229.13240096252</v>
      </c>
      <c r="AJ28" s="2">
        <f t="shared" ref="AJ28:AJ31" si="51">AI28-I28</f>
        <v>0</v>
      </c>
    </row>
    <row r="29" spans="1:36" x14ac:dyDescent="0.2">
      <c r="A29">
        <f t="shared" si="3"/>
        <v>2012</v>
      </c>
      <c r="B29" s="2">
        <f t="shared" si="21"/>
        <v>24038.614650076674</v>
      </c>
      <c r="C29" s="2"/>
      <c r="D29" s="2">
        <f t="shared" si="22"/>
        <v>18893.354156994585</v>
      </c>
      <c r="E29" s="2">
        <f t="shared" si="23"/>
        <v>12978.365807259082</v>
      </c>
      <c r="F29" s="2"/>
      <c r="G29" s="2">
        <f t="shared" si="24"/>
        <v>14900.722724570047</v>
      </c>
      <c r="H29" s="2">
        <f t="shared" si="25"/>
        <v>42193.131522424599</v>
      </c>
      <c r="I29" s="2">
        <f t="shared" ref="I29:I31" si="52">SUM(B29:H29)</f>
        <v>113004.18886132498</v>
      </c>
      <c r="J29" s="2">
        <f t="shared" ref="J29:J31" si="53">I29-I28</f>
        <v>11775.056460362452</v>
      </c>
      <c r="K29" s="6">
        <f t="shared" ref="K29:K31" si="54">(J29/I28)</f>
        <v>0.11632082762225165</v>
      </c>
      <c r="L29" s="7">
        <f t="shared" ref="L29:L31" si="55">K29+1</f>
        <v>1.1163208276222516</v>
      </c>
      <c r="O29">
        <f t="shared" si="37"/>
        <v>2012</v>
      </c>
      <c r="P29" s="6">
        <f t="shared" si="38"/>
        <v>0.2127232175399805</v>
      </c>
      <c r="Q29" s="6"/>
      <c r="R29" s="6">
        <f t="shared" si="39"/>
        <v>0.16719162667659945</v>
      </c>
      <c r="S29" s="6">
        <f t="shared" si="40"/>
        <v>0.11484853736869619</v>
      </c>
      <c r="T29" s="6"/>
      <c r="U29" s="6">
        <f t="shared" si="41"/>
        <v>0.13185991488205559</v>
      </c>
      <c r="V29" s="6">
        <f t="shared" si="42"/>
        <v>0.37337670353266833</v>
      </c>
      <c r="W29" s="20">
        <f t="shared" si="43"/>
        <v>1</v>
      </c>
      <c r="X29" s="7">
        <f t="shared" si="30"/>
        <v>0.62662329646733173</v>
      </c>
      <c r="Y29" s="7">
        <f t="shared" si="31"/>
        <v>0</v>
      </c>
      <c r="Z29" s="22"/>
      <c r="AA29">
        <f t="shared" si="44"/>
        <v>2012</v>
      </c>
      <c r="AB29" s="2">
        <f t="shared" si="45"/>
        <v>24038.614650076674</v>
      </c>
      <c r="AC29" s="2"/>
      <c r="AD29" s="2">
        <f t="shared" si="46"/>
        <v>18893.354156994585</v>
      </c>
      <c r="AE29" s="2">
        <f t="shared" si="47"/>
        <v>12978.365807259082</v>
      </c>
      <c r="AF29" s="2"/>
      <c r="AG29" s="2">
        <f t="shared" si="48"/>
        <v>14900.722724570047</v>
      </c>
      <c r="AH29" s="2">
        <f t="shared" si="49"/>
        <v>42193.131522424599</v>
      </c>
      <c r="AI29" s="2">
        <f t="shared" si="50"/>
        <v>113004.18886132498</v>
      </c>
      <c r="AJ29" s="2">
        <f t="shared" si="51"/>
        <v>0</v>
      </c>
    </row>
    <row r="30" spans="1:36" x14ac:dyDescent="0.2">
      <c r="A30">
        <f t="shared" si="3"/>
        <v>2013</v>
      </c>
      <c r="B30" s="2">
        <f t="shared" si="21"/>
        <v>31774.240844471347</v>
      </c>
      <c r="C30" s="2"/>
      <c r="D30" s="2">
        <f t="shared" si="22"/>
        <v>25506.028111942691</v>
      </c>
      <c r="E30" s="2">
        <f t="shared" si="23"/>
        <v>17860.827023949947</v>
      </c>
      <c r="F30" s="2"/>
      <c r="G30" s="2">
        <f t="shared" si="24"/>
        <v>17141.791422345381</v>
      </c>
      <c r="H30" s="2">
        <f t="shared" si="25"/>
        <v>41239.566750017802</v>
      </c>
      <c r="I30" s="2">
        <f t="shared" si="52"/>
        <v>133522.45415272718</v>
      </c>
      <c r="J30" s="2">
        <f t="shared" si="53"/>
        <v>20518.265291402204</v>
      </c>
      <c r="K30" s="6">
        <f t="shared" si="54"/>
        <v>0.18157083819770206</v>
      </c>
      <c r="L30" s="7">
        <f t="shared" si="55"/>
        <v>1.1815708381977021</v>
      </c>
      <c r="O30">
        <f t="shared" si="37"/>
        <v>2013</v>
      </c>
      <c r="P30" s="6">
        <f t="shared" si="38"/>
        <v>0.23796926925958814</v>
      </c>
      <c r="Q30" s="6"/>
      <c r="R30" s="6">
        <f t="shared" si="39"/>
        <v>0.19102426085404403</v>
      </c>
      <c r="S30" s="6">
        <f t="shared" si="40"/>
        <v>0.13376646750006685</v>
      </c>
      <c r="T30" s="6"/>
      <c r="U30" s="6">
        <f t="shared" si="41"/>
        <v>0.12838133878769231</v>
      </c>
      <c r="V30" s="6">
        <f t="shared" si="42"/>
        <v>0.30885866359860858</v>
      </c>
      <c r="W30" s="20">
        <f t="shared" si="43"/>
        <v>0.99999999999999989</v>
      </c>
      <c r="X30" s="7">
        <f t="shared" si="30"/>
        <v>0.6911413364013913</v>
      </c>
      <c r="Y30" s="7">
        <f t="shared" si="31"/>
        <v>0</v>
      </c>
      <c r="Z30" s="22"/>
      <c r="AA30">
        <f t="shared" si="44"/>
        <v>2013</v>
      </c>
      <c r="AB30" s="2">
        <f t="shared" si="45"/>
        <v>31774.240844471347</v>
      </c>
      <c r="AC30" s="2"/>
      <c r="AD30" s="2">
        <f t="shared" si="46"/>
        <v>25506.028111942691</v>
      </c>
      <c r="AE30" s="2">
        <f t="shared" si="47"/>
        <v>17860.827023949947</v>
      </c>
      <c r="AF30" s="2"/>
      <c r="AG30" s="2">
        <f t="shared" si="48"/>
        <v>17141.791422345381</v>
      </c>
      <c r="AH30" s="2">
        <f t="shared" si="49"/>
        <v>41239.566750017802</v>
      </c>
      <c r="AI30" s="2">
        <f t="shared" si="50"/>
        <v>133522.45415272718</v>
      </c>
      <c r="AJ30" s="2">
        <f t="shared" si="51"/>
        <v>0</v>
      </c>
    </row>
    <row r="31" spans="1:36" x14ac:dyDescent="0.2">
      <c r="A31">
        <f t="shared" si="3"/>
        <v>2014</v>
      </c>
      <c r="B31" s="2">
        <f t="shared" si="21"/>
        <v>36066.940782559424</v>
      </c>
      <c r="C31" s="2"/>
      <c r="D31" s="2">
        <f t="shared" si="22"/>
        <v>28974.847935166901</v>
      </c>
      <c r="E31" s="2">
        <f t="shared" si="23"/>
        <v>19177.169975615059</v>
      </c>
      <c r="F31" s="2"/>
      <c r="G31" s="2">
        <f t="shared" si="24"/>
        <v>16414.979466037938</v>
      </c>
      <c r="H31" s="2">
        <f t="shared" si="25"/>
        <v>43614.965794818832</v>
      </c>
      <c r="I31" s="2">
        <f t="shared" si="52"/>
        <v>144248.90395419815</v>
      </c>
      <c r="J31" s="2">
        <f t="shared" si="53"/>
        <v>10726.449801470968</v>
      </c>
      <c r="K31" s="6">
        <f t="shared" si="54"/>
        <v>8.0334426666556907E-2</v>
      </c>
      <c r="L31" s="7">
        <f t="shared" si="55"/>
        <v>1.0803344266665569</v>
      </c>
      <c r="O31">
        <f t="shared" si="37"/>
        <v>2014</v>
      </c>
      <c r="P31" s="6">
        <f t="shared" si="38"/>
        <v>0.25003268512883386</v>
      </c>
      <c r="Q31" s="6"/>
      <c r="R31" s="6">
        <f t="shared" si="39"/>
        <v>0.20086702318630431</v>
      </c>
      <c r="S31" s="6">
        <f t="shared" si="40"/>
        <v>0.13294499611382965</v>
      </c>
      <c r="T31" s="6"/>
      <c r="U31" s="6">
        <f t="shared" si="41"/>
        <v>0.11379621623502953</v>
      </c>
      <c r="V31" s="6">
        <f t="shared" si="42"/>
        <v>0.3023590793360027</v>
      </c>
      <c r="W31" s="20">
        <f t="shared" si="43"/>
        <v>1</v>
      </c>
      <c r="X31" s="7">
        <f t="shared" si="30"/>
        <v>0.69764092066399741</v>
      </c>
      <c r="Y31" s="7">
        <f t="shared" si="31"/>
        <v>0</v>
      </c>
      <c r="Z31" s="22"/>
      <c r="AA31">
        <f t="shared" si="44"/>
        <v>2014</v>
      </c>
      <c r="AB31" s="2">
        <f t="shared" si="45"/>
        <v>36066.940782559424</v>
      </c>
      <c r="AC31" s="2"/>
      <c r="AD31" s="2">
        <f t="shared" si="46"/>
        <v>28974.847935166901</v>
      </c>
      <c r="AE31" s="2">
        <f t="shared" si="47"/>
        <v>19177.169975615059</v>
      </c>
      <c r="AF31" s="2"/>
      <c r="AG31" s="2">
        <f t="shared" si="48"/>
        <v>16414.979466037938</v>
      </c>
      <c r="AH31" s="2">
        <f t="shared" si="49"/>
        <v>43614.965794818832</v>
      </c>
      <c r="AI31" s="2">
        <f t="shared" si="50"/>
        <v>144248.90395419815</v>
      </c>
      <c r="AJ31" s="2">
        <f t="shared" si="51"/>
        <v>0</v>
      </c>
    </row>
    <row r="32" spans="1:36" x14ac:dyDescent="0.2">
      <c r="A32">
        <f t="shared" si="3"/>
        <v>2015</v>
      </c>
      <c r="B32" s="2">
        <f t="shared" si="21"/>
        <v>36517.777542341413</v>
      </c>
      <c r="C32" s="2"/>
      <c r="D32" s="2">
        <f t="shared" si="22"/>
        <v>28551.815155313467</v>
      </c>
      <c r="E32" s="2">
        <f t="shared" si="23"/>
        <v>18452.272950536808</v>
      </c>
      <c r="F32" s="2"/>
      <c r="G32" s="2">
        <f t="shared" si="24"/>
        <v>15697.644863372081</v>
      </c>
      <c r="H32" s="2">
        <f t="shared" si="25"/>
        <v>43745.810692203282</v>
      </c>
      <c r="I32" s="2">
        <f t="shared" ref="I32" si="56">SUM(B32:H32)</f>
        <v>142965.32120376706</v>
      </c>
      <c r="J32" s="2">
        <f t="shared" ref="J32" si="57">I32-I31</f>
        <v>-1283.5827504310873</v>
      </c>
      <c r="K32" s="6">
        <f t="shared" ref="K32" si="58">(J32/I31)</f>
        <v>-8.8983882389751124E-3</v>
      </c>
      <c r="L32" s="7">
        <f t="shared" ref="L32" si="59">K32+1</f>
        <v>0.99110161176102485</v>
      </c>
      <c r="O32">
        <f t="shared" ref="O32" si="60">A32</f>
        <v>2015</v>
      </c>
      <c r="P32" s="6">
        <f t="shared" ref="P32" si="61">B32/$I32</f>
        <v>0.25543101805991808</v>
      </c>
      <c r="Q32" s="6"/>
      <c r="R32" s="6">
        <f t="shared" ref="R32" si="62">D32/$I32</f>
        <v>0.19971147488710808</v>
      </c>
      <c r="S32" s="6">
        <f t="shared" ref="S32" si="63">E32/$I32</f>
        <v>0.12906817398211531</v>
      </c>
      <c r="T32" s="6"/>
      <c r="U32" s="6">
        <f t="shared" ref="U32" si="64">G32/$I32</f>
        <v>0.10980036788780674</v>
      </c>
      <c r="V32" s="6">
        <f t="shared" ref="V32" si="65">H32/$I32</f>
        <v>0.30598896518305169</v>
      </c>
      <c r="W32" s="20">
        <f t="shared" ref="W32" si="66">SUM(P32:V32)</f>
        <v>1</v>
      </c>
      <c r="X32" s="7">
        <f t="shared" si="30"/>
        <v>0.69401103481694826</v>
      </c>
      <c r="Y32" s="7">
        <f t="shared" si="31"/>
        <v>0</v>
      </c>
      <c r="Z32" s="22"/>
      <c r="AA32">
        <f t="shared" ref="AA32" si="67">O32</f>
        <v>2015</v>
      </c>
      <c r="AB32" s="2">
        <f t="shared" ref="AB32" si="68">B32</f>
        <v>36517.777542341413</v>
      </c>
      <c r="AC32" s="2"/>
      <c r="AD32" s="2">
        <f t="shared" ref="AD32" si="69">D32</f>
        <v>28551.815155313467</v>
      </c>
      <c r="AE32" s="2">
        <f t="shared" ref="AE32" si="70">E32</f>
        <v>18452.272950536808</v>
      </c>
      <c r="AF32" s="2"/>
      <c r="AG32" s="2">
        <f t="shared" ref="AG32" si="71">G32</f>
        <v>15697.644863372081</v>
      </c>
      <c r="AH32" s="2">
        <f t="shared" ref="AH32" si="72">H32</f>
        <v>43745.810692203282</v>
      </c>
      <c r="AI32" s="2">
        <f t="shared" ref="AI32" si="73">SUM(AB32:AH32)</f>
        <v>142965.32120376706</v>
      </c>
      <c r="AJ32" s="2">
        <f t="shared" ref="AJ32" si="74">AI32-I32</f>
        <v>0</v>
      </c>
    </row>
    <row r="33" spans="1:36" x14ac:dyDescent="0.2">
      <c r="A33">
        <f t="shared" si="3"/>
        <v>2016</v>
      </c>
      <c r="B33" s="2">
        <f t="shared" si="21"/>
        <v>40834.178847846175</v>
      </c>
      <c r="C33" s="2"/>
      <c r="D33" s="2">
        <f t="shared" si="22"/>
        <v>31712.501093006667</v>
      </c>
      <c r="E33" s="2">
        <f t="shared" si="23"/>
        <v>21805.050945649346</v>
      </c>
      <c r="F33" s="2"/>
      <c r="G33" s="2">
        <f t="shared" si="24"/>
        <v>16427.585349518882</v>
      </c>
      <c r="H33" s="2">
        <f t="shared" si="25"/>
        <v>44839.455959508363</v>
      </c>
      <c r="I33" s="2">
        <f t="shared" ref="I33" si="75">SUM(B33:H33)</f>
        <v>155618.77219552943</v>
      </c>
      <c r="J33" s="2">
        <f t="shared" ref="J33" si="76">I33-I32</f>
        <v>12653.450991762365</v>
      </c>
      <c r="K33" s="6">
        <f t="shared" ref="K33" si="77">(J33/I32)</f>
        <v>8.8507135053594754E-2</v>
      </c>
      <c r="L33" s="7">
        <f t="shared" ref="L33" si="78">K33+1</f>
        <v>1.0885071350535949</v>
      </c>
      <c r="O33">
        <f t="shared" ref="O33" si="79">A33</f>
        <v>2016</v>
      </c>
      <c r="P33" s="6">
        <f t="shared" ref="P33" si="80">B33/$I33</f>
        <v>0.26239879849803394</v>
      </c>
      <c r="Q33" s="6"/>
      <c r="R33" s="6">
        <f t="shared" ref="R33" si="81">D33/$I33</f>
        <v>0.20378326242775546</v>
      </c>
      <c r="S33" s="6">
        <f t="shared" ref="S33" si="82">E33/$I33</f>
        <v>0.14011838442120644</v>
      </c>
      <c r="T33" s="6"/>
      <c r="U33" s="6">
        <f t="shared" ref="U33" si="83">G33/$I33</f>
        <v>0.10556300578492039</v>
      </c>
      <c r="V33" s="6">
        <f t="shared" ref="V33" si="84">H33/$I33</f>
        <v>0.28813654886808376</v>
      </c>
      <c r="W33" s="20">
        <f t="shared" ref="W33" si="85">SUM(P33:V33)</f>
        <v>1</v>
      </c>
      <c r="X33" s="7">
        <f t="shared" si="30"/>
        <v>0.71186345113191618</v>
      </c>
      <c r="Y33" s="7">
        <f t="shared" si="31"/>
        <v>0</v>
      </c>
      <c r="Z33" s="22"/>
      <c r="AA33">
        <f t="shared" ref="AA33" si="86">O33</f>
        <v>2016</v>
      </c>
      <c r="AB33" s="2">
        <f t="shared" ref="AB33" si="87">B33</f>
        <v>40834.178847846175</v>
      </c>
      <c r="AC33" s="2"/>
      <c r="AD33" s="2">
        <f t="shared" ref="AD33" si="88">D33</f>
        <v>31712.501093006667</v>
      </c>
      <c r="AE33" s="2">
        <f t="shared" ref="AE33" si="89">E33</f>
        <v>21805.050945649346</v>
      </c>
      <c r="AF33" s="2"/>
      <c r="AG33" s="2">
        <f t="shared" ref="AG33" si="90">G33</f>
        <v>16427.585349518882</v>
      </c>
      <c r="AH33" s="2">
        <f t="shared" ref="AH33" si="91">H33</f>
        <v>44839.455959508363</v>
      </c>
      <c r="AI33" s="2">
        <f t="shared" ref="AI33" si="92">SUM(AB33:AH33)</f>
        <v>155618.77219552943</v>
      </c>
      <c r="AJ33" s="2">
        <f t="shared" ref="AJ33" si="93">AI33-I33</f>
        <v>0</v>
      </c>
    </row>
    <row r="34" spans="1:36" x14ac:dyDescent="0.2">
      <c r="A34">
        <f t="shared" si="3"/>
        <v>2017</v>
      </c>
      <c r="B34" s="2">
        <f t="shared" si="21"/>
        <v>49682.945404174439</v>
      </c>
      <c r="C34" s="2"/>
      <c r="D34" s="2">
        <f t="shared" si="22"/>
        <v>37928.151307235974</v>
      </c>
      <c r="E34" s="2">
        <f t="shared" si="23"/>
        <v>25315.664147898889</v>
      </c>
      <c r="F34" s="2"/>
      <c r="G34" s="2">
        <f t="shared" si="24"/>
        <v>20928.743735287055</v>
      </c>
      <c r="H34" s="2">
        <f t="shared" si="25"/>
        <v>46390.901135707354</v>
      </c>
      <c r="I34" s="2">
        <f t="shared" ref="I34:I35" si="94">SUM(B34:H34)</f>
        <v>180246.40573030373</v>
      </c>
      <c r="J34" s="2">
        <f t="shared" ref="J34:J35" si="95">I34-I33</f>
        <v>24627.633534774301</v>
      </c>
      <c r="K34" s="6">
        <f t="shared" ref="K34:K35" si="96">(J34/I33)</f>
        <v>0.15825618713808229</v>
      </c>
      <c r="L34" s="7">
        <f t="shared" ref="L34:L35" si="97">K34+1</f>
        <v>1.1582561871380823</v>
      </c>
      <c r="O34">
        <f t="shared" ref="O34:O35" si="98">A34</f>
        <v>2017</v>
      </c>
      <c r="P34" s="6">
        <f t="shared" ref="P34:P35" si="99">B34/$I34</f>
        <v>0.27563903536869</v>
      </c>
      <c r="Q34" s="6"/>
      <c r="R34" s="6">
        <f t="shared" ref="R34:R35" si="100">D34/$I34</f>
        <v>0.21042389807198994</v>
      </c>
      <c r="S34" s="6">
        <f t="shared" ref="S34:S35" si="101">E34/$I34</f>
        <v>0.14045031325494398</v>
      </c>
      <c r="T34" s="6"/>
      <c r="U34" s="6">
        <f t="shared" ref="U34:U35" si="102">G34/$I34</f>
        <v>0.11611185061077993</v>
      </c>
      <c r="V34" s="6">
        <f t="shared" ref="V34:V35" si="103">H34/$I34</f>
        <v>0.25737490269359603</v>
      </c>
      <c r="W34" s="20">
        <f t="shared" ref="W34:W35" si="104">SUM(P34:V34)</f>
        <v>0.99999999999999978</v>
      </c>
      <c r="X34" s="7">
        <f t="shared" si="30"/>
        <v>0.7426250973064038</v>
      </c>
      <c r="Y34" s="7">
        <f t="shared" si="31"/>
        <v>0</v>
      </c>
      <c r="Z34" s="22"/>
      <c r="AA34">
        <f t="shared" ref="AA34:AA35" si="105">O34</f>
        <v>2017</v>
      </c>
      <c r="AB34" s="2">
        <f t="shared" ref="AB34:AB35" si="106">B34</f>
        <v>49682.945404174439</v>
      </c>
      <c r="AC34" s="2"/>
      <c r="AD34" s="2">
        <f t="shared" ref="AD34:AD35" si="107">D34</f>
        <v>37928.151307235974</v>
      </c>
      <c r="AE34" s="2">
        <f t="shared" ref="AE34:AE35" si="108">E34</f>
        <v>25315.664147898889</v>
      </c>
      <c r="AF34" s="2"/>
      <c r="AG34" s="2">
        <f t="shared" ref="AG34:AG35" si="109">G34</f>
        <v>20928.743735287055</v>
      </c>
      <c r="AH34" s="2">
        <f t="shared" ref="AH34:AH35" si="110">H34</f>
        <v>46390.901135707354</v>
      </c>
      <c r="AI34" s="2">
        <f t="shared" ref="AI34:AI35" si="111">SUM(AB34:AH34)</f>
        <v>180246.40573030373</v>
      </c>
      <c r="AJ34" s="2">
        <f t="shared" ref="AJ34:AJ35" si="112">AI34-I34</f>
        <v>0</v>
      </c>
    </row>
    <row r="35" spans="1:36" x14ac:dyDescent="0.2">
      <c r="A35">
        <f t="shared" si="3"/>
        <v>2018</v>
      </c>
      <c r="B35" s="2">
        <f t="shared" si="21"/>
        <v>47447.21286098659</v>
      </c>
      <c r="C35" s="2"/>
      <c r="D35" s="2">
        <f t="shared" si="22"/>
        <v>34400.833235663027</v>
      </c>
      <c r="E35" s="2">
        <f t="shared" si="23"/>
        <v>22935.991717996396</v>
      </c>
      <c r="F35" s="2"/>
      <c r="G35" s="2">
        <f t="shared" si="24"/>
        <v>17894.07589367043</v>
      </c>
      <c r="H35" s="2">
        <f t="shared" si="25"/>
        <v>46344.510234571644</v>
      </c>
      <c r="I35" s="2">
        <f t="shared" si="94"/>
        <v>169022.62394288808</v>
      </c>
      <c r="J35" s="2">
        <f t="shared" si="95"/>
        <v>-11223.781787415646</v>
      </c>
      <c r="K35" s="6">
        <f t="shared" si="96"/>
        <v>-6.2269101799507676E-2</v>
      </c>
      <c r="L35" s="7">
        <f t="shared" si="97"/>
        <v>0.93773089820049238</v>
      </c>
      <c r="O35">
        <f t="shared" si="98"/>
        <v>2018</v>
      </c>
      <c r="P35" s="6">
        <f t="shared" si="99"/>
        <v>0.28071515962868243</v>
      </c>
      <c r="Q35" s="6"/>
      <c r="R35" s="6">
        <f t="shared" si="100"/>
        <v>0.2035279800607456</v>
      </c>
      <c r="S35" s="6">
        <f t="shared" si="101"/>
        <v>0.13569776153603175</v>
      </c>
      <c r="T35" s="6"/>
      <c r="U35" s="6">
        <f t="shared" si="102"/>
        <v>0.1058679333940334</v>
      </c>
      <c r="V35" s="6">
        <f t="shared" si="103"/>
        <v>0.27419116538050686</v>
      </c>
      <c r="W35" s="20">
        <f t="shared" si="104"/>
        <v>1</v>
      </c>
      <c r="X35" s="7">
        <f t="shared" si="30"/>
        <v>0.72580883461949319</v>
      </c>
      <c r="Y35" s="7">
        <f t="shared" si="31"/>
        <v>0</v>
      </c>
      <c r="Z35" s="22"/>
      <c r="AA35">
        <f t="shared" si="105"/>
        <v>2018</v>
      </c>
      <c r="AB35" s="2">
        <f t="shared" si="106"/>
        <v>47447.21286098659</v>
      </c>
      <c r="AC35" s="2"/>
      <c r="AD35" s="2">
        <f t="shared" si="107"/>
        <v>34400.833235663027</v>
      </c>
      <c r="AE35" s="2">
        <f t="shared" si="108"/>
        <v>22935.991717996396</v>
      </c>
      <c r="AF35" s="2"/>
      <c r="AG35" s="2">
        <f t="shared" si="109"/>
        <v>17894.07589367043</v>
      </c>
      <c r="AH35" s="2">
        <f t="shared" si="110"/>
        <v>46344.510234571644</v>
      </c>
      <c r="AI35" s="2">
        <f t="shared" si="111"/>
        <v>169022.62394288808</v>
      </c>
      <c r="AJ35" s="2">
        <f t="shared" si="112"/>
        <v>0</v>
      </c>
    </row>
    <row r="36" spans="1:36" x14ac:dyDescent="0.2">
      <c r="A36">
        <f t="shared" ref="A36:A37" si="113">A16</f>
        <v>2019</v>
      </c>
      <c r="B36" s="2">
        <f t="shared" ref="B36:B37" si="114">AB35*(1+(B16/100))</f>
        <v>62372.208138538532</v>
      </c>
      <c r="C36" s="2"/>
      <c r="D36" s="2">
        <f t="shared" ref="D36:E36" si="115">AD35*(1+(D16/100))</f>
        <v>45075.962202021037</v>
      </c>
      <c r="E36" s="2">
        <f t="shared" si="115"/>
        <v>29212.976315427342</v>
      </c>
      <c r="F36" s="2"/>
      <c r="G36" s="2">
        <f t="shared" ref="G36:H36" si="116">AG35*(1+(G16/100))</f>
        <v>21742.733736881066</v>
      </c>
      <c r="H36" s="2">
        <f t="shared" si="116"/>
        <v>50382.970856412219</v>
      </c>
      <c r="I36" s="2">
        <f t="shared" ref="I36:I37" si="117">SUM(B36:H36)</f>
        <v>208786.85124928018</v>
      </c>
      <c r="J36" s="2">
        <f t="shared" ref="J36:J37" si="118">I36-I35</f>
        <v>39764.227306392102</v>
      </c>
      <c r="K36" s="6">
        <f t="shared" ref="K36:K37" si="119">(J36/I35)</f>
        <v>0.23525979172958669</v>
      </c>
      <c r="L36" s="7">
        <f t="shared" ref="L36:L37" si="120">K36+1</f>
        <v>1.2352597917295867</v>
      </c>
      <c r="O36">
        <f t="shared" ref="O36:O37" si="121">A36</f>
        <v>2019</v>
      </c>
      <c r="P36" s="6">
        <f t="shared" ref="P36:P37" si="122">B36/$I36</f>
        <v>0.29873628423118226</v>
      </c>
      <c r="Q36" s="6"/>
      <c r="R36" s="6">
        <f t="shared" ref="R36:R37" si="123">D36/$I36</f>
        <v>0.21589464054995869</v>
      </c>
      <c r="S36" s="6">
        <f t="shared" ref="S36:S37" si="124">E36/$I36</f>
        <v>0.13991770142914139</v>
      </c>
      <c r="T36" s="6"/>
      <c r="U36" s="6">
        <f t="shared" ref="U36:U37" si="125">G36/$I36</f>
        <v>0.1041384244591218</v>
      </c>
      <c r="V36" s="6">
        <f t="shared" ref="V36:V37" si="126">H36/$I36</f>
        <v>0.24131294933059594</v>
      </c>
      <c r="W36" s="20">
        <f t="shared" ref="W36:W37" si="127">SUM(P36:V36)</f>
        <v>1</v>
      </c>
      <c r="X36" s="7">
        <f t="shared" ref="X36:X37" si="128">SUM(P36:U36)</f>
        <v>0.75868705066940412</v>
      </c>
      <c r="Y36" s="7">
        <f t="shared" ref="Y36:Y37" si="129">W36-(X36+V36)</f>
        <v>0</v>
      </c>
      <c r="Z36" s="22"/>
      <c r="AA36">
        <f t="shared" ref="AA36:AA37" si="130">O36</f>
        <v>2019</v>
      </c>
      <c r="AB36" s="2">
        <f t="shared" ref="AB36:AB37" si="131">B36</f>
        <v>62372.208138538532</v>
      </c>
      <c r="AC36" s="2"/>
      <c r="AD36" s="2">
        <f t="shared" ref="AD36:AD37" si="132">D36</f>
        <v>45075.962202021037</v>
      </c>
      <c r="AE36" s="2">
        <f t="shared" ref="AE36:AE37" si="133">E36</f>
        <v>29212.976315427342</v>
      </c>
      <c r="AF36" s="2"/>
      <c r="AG36" s="2">
        <f t="shared" ref="AG36:AG37" si="134">G36</f>
        <v>21742.733736881066</v>
      </c>
      <c r="AH36" s="2">
        <f t="shared" ref="AH36:AH37" si="135">H36</f>
        <v>50382.970856412219</v>
      </c>
      <c r="AI36" s="2">
        <f t="shared" ref="AI36:AI37" si="136">SUM(AB36:AH36)</f>
        <v>208786.85124928018</v>
      </c>
      <c r="AJ36" s="2">
        <f t="shared" ref="AJ36:AJ37" si="137">AI36-I36</f>
        <v>0</v>
      </c>
    </row>
    <row r="37" spans="1:36" x14ac:dyDescent="0.2">
      <c r="A37">
        <f t="shared" si="113"/>
        <v>2020</v>
      </c>
      <c r="B37" s="2">
        <f t="shared" si="114"/>
        <v>73829.982773588054</v>
      </c>
      <c r="C37" s="2"/>
      <c r="D37" s="2">
        <f t="shared" ref="D37:E37" si="138">AD36*(1+(D17/100))</f>
        <v>53297.817707669667</v>
      </c>
      <c r="E37" s="2">
        <f t="shared" si="138"/>
        <v>34795.576089305512</v>
      </c>
      <c r="F37" s="2"/>
      <c r="G37" s="2">
        <f t="shared" ref="G37:H37" si="139">AG36*(1+(G17/100))</f>
        <v>24195.314102401251</v>
      </c>
      <c r="H37" s="2">
        <f t="shared" si="139"/>
        <v>54272.536206527242</v>
      </c>
      <c r="I37" s="2">
        <f t="shared" si="117"/>
        <v>240391.22687949173</v>
      </c>
      <c r="J37" s="2">
        <f t="shared" si="118"/>
        <v>31604.375630211551</v>
      </c>
      <c r="K37" s="6">
        <f t="shared" si="119"/>
        <v>0.15137148456000057</v>
      </c>
      <c r="L37" s="7">
        <f t="shared" si="120"/>
        <v>1.1513714845600005</v>
      </c>
      <c r="O37">
        <f t="shared" si="121"/>
        <v>2020</v>
      </c>
      <c r="P37" s="6">
        <f t="shared" si="122"/>
        <v>0.3071242812475809</v>
      </c>
      <c r="Q37" s="6"/>
      <c r="R37" s="6">
        <f t="shared" si="123"/>
        <v>0.2217128237146021</v>
      </c>
      <c r="S37" s="6">
        <f t="shared" si="124"/>
        <v>0.14474561547434739</v>
      </c>
      <c r="T37" s="6"/>
      <c r="U37" s="6">
        <f t="shared" si="125"/>
        <v>0.10064973841383312</v>
      </c>
      <c r="V37" s="6">
        <f t="shared" si="126"/>
        <v>0.22576754114963646</v>
      </c>
      <c r="W37" s="20">
        <f t="shared" si="127"/>
        <v>1</v>
      </c>
      <c r="X37" s="7">
        <f t="shared" si="128"/>
        <v>0.77423245885036351</v>
      </c>
      <c r="Y37" s="7">
        <f t="shared" si="129"/>
        <v>0</v>
      </c>
      <c r="Z37" s="22"/>
      <c r="AA37">
        <f t="shared" si="130"/>
        <v>2020</v>
      </c>
      <c r="AB37" s="2">
        <f t="shared" si="131"/>
        <v>73829.982773588054</v>
      </c>
      <c r="AC37" s="2"/>
      <c r="AD37" s="2">
        <f t="shared" si="132"/>
        <v>53297.817707669667</v>
      </c>
      <c r="AE37" s="2">
        <f t="shared" si="133"/>
        <v>34795.576089305512</v>
      </c>
      <c r="AF37" s="2"/>
      <c r="AG37" s="2">
        <f t="shared" si="134"/>
        <v>24195.314102401251</v>
      </c>
      <c r="AH37" s="2">
        <f t="shared" si="135"/>
        <v>54272.536206527242</v>
      </c>
      <c r="AI37" s="2">
        <f t="shared" si="136"/>
        <v>240391.22687949173</v>
      </c>
      <c r="AJ37" s="2">
        <f t="shared" si="137"/>
        <v>0</v>
      </c>
    </row>
    <row r="38" spans="1:36" x14ac:dyDescent="0.2">
      <c r="A38" s="9" t="s">
        <v>44</v>
      </c>
      <c r="B38" s="10">
        <f>AB37</f>
        <v>73829.982773588054</v>
      </c>
      <c r="C38" s="10"/>
      <c r="D38" s="10">
        <f>AD37</f>
        <v>53297.817707669667</v>
      </c>
      <c r="E38" s="10">
        <f>AE37</f>
        <v>34795.576089305512</v>
      </c>
      <c r="F38" s="10"/>
      <c r="G38" s="10">
        <f>AG37</f>
        <v>24195.314102401251</v>
      </c>
      <c r="H38" s="10">
        <f>AH37</f>
        <v>54272.536206527242</v>
      </c>
      <c r="I38" s="10">
        <f>SUM(B38:H38)</f>
        <v>240391.22687949173</v>
      </c>
      <c r="J38" s="10"/>
      <c r="K38" s="10"/>
      <c r="O38" s="68" t="s">
        <v>169</v>
      </c>
      <c r="P38" s="69">
        <f>P37</f>
        <v>0.3071242812475809</v>
      </c>
      <c r="Q38" s="68"/>
      <c r="R38" s="69">
        <f>R37</f>
        <v>0.2217128237146021</v>
      </c>
      <c r="S38" s="68"/>
      <c r="T38" s="68"/>
      <c r="U38" s="69">
        <f>U37</f>
        <v>0.10064973841383312</v>
      </c>
      <c r="V38" s="69">
        <f>V37</f>
        <v>0.22576754114963646</v>
      </c>
      <c r="W38" s="69">
        <f>W37</f>
        <v>1</v>
      </c>
      <c r="X38" s="69">
        <f>X37</f>
        <v>0.77423245885036351</v>
      </c>
      <c r="Y38" s="69">
        <f>Y37</f>
        <v>0</v>
      </c>
    </row>
    <row r="39" spans="1:36" x14ac:dyDescent="0.2">
      <c r="A39" s="11" t="s">
        <v>45</v>
      </c>
      <c r="I39" s="6">
        <f>(I38-I23)/I23</f>
        <v>1.4039122687949173</v>
      </c>
      <c r="K39" s="6"/>
      <c r="R39" s="7"/>
    </row>
    <row r="40" spans="1:36" x14ac:dyDescent="0.2">
      <c r="A40" s="1" t="s">
        <v>46</v>
      </c>
      <c r="I40" s="12">
        <f>STDEV(L24:L37)</f>
        <v>0.11557762038660792</v>
      </c>
      <c r="S40" s="70"/>
      <c r="T40" s="70"/>
      <c r="U40" s="71" t="s">
        <v>170</v>
      </c>
      <c r="V40" s="70" t="b">
        <f>IF((V37=V38),TRUE,FALSE)</f>
        <v>1</v>
      </c>
      <c r="W40" s="70"/>
      <c r="X40" s="72" t="b">
        <f>IF(((SUM(P37:U37))=X38),TRUE,FALSE)</f>
        <v>1</v>
      </c>
      <c r="Y40" s="7"/>
      <c r="AA40" s="7"/>
    </row>
    <row r="41" spans="1:36" x14ac:dyDescent="0.2">
      <c r="A41" s="1" t="s">
        <v>47</v>
      </c>
      <c r="I41" s="13">
        <f>((1+I39)^(1/I46))-1</f>
        <v>6.4653956631360643E-2</v>
      </c>
    </row>
    <row r="42" spans="1:36" x14ac:dyDescent="0.2">
      <c r="A42" s="1" t="s">
        <v>48</v>
      </c>
      <c r="I42" s="27">
        <f>J25</f>
        <v>-23585.275559000016</v>
      </c>
    </row>
    <row r="43" spans="1:36" x14ac:dyDescent="0.2">
      <c r="A43" s="1" t="s">
        <v>49</v>
      </c>
      <c r="I43" s="28">
        <f>K25</f>
        <v>-0.22002616362721292</v>
      </c>
    </row>
    <row r="44" spans="1:36" x14ac:dyDescent="0.2">
      <c r="A44" s="3" t="s">
        <v>50</v>
      </c>
      <c r="I44" s="29">
        <f>I38-I37</f>
        <v>0</v>
      </c>
    </row>
    <row r="45" spans="1:36" x14ac:dyDescent="0.2">
      <c r="A45" s="3" t="s">
        <v>134</v>
      </c>
      <c r="I45" s="29">
        <f>((SUM(J24:J37))-(I38-I23))</f>
        <v>0</v>
      </c>
    </row>
    <row r="46" spans="1:36" x14ac:dyDescent="0.2">
      <c r="A46" s="3" t="s">
        <v>139</v>
      </c>
      <c r="I46" s="3">
        <f>COUNTA(I24:I37)</f>
        <v>14</v>
      </c>
    </row>
    <row r="47" spans="1:36" x14ac:dyDescent="0.2">
      <c r="A47" s="80" t="s">
        <v>91</v>
      </c>
      <c r="B47" s="2"/>
      <c r="C47" s="2"/>
      <c r="D47" s="2"/>
      <c r="E47" s="2"/>
      <c r="G47" s="2"/>
      <c r="H47" s="2"/>
      <c r="I47" s="81">
        <f>X38</f>
        <v>0.77423245885036351</v>
      </c>
    </row>
    <row r="48" spans="1:36" x14ac:dyDescent="0.2">
      <c r="A48" s="80" t="s">
        <v>174</v>
      </c>
      <c r="B48" s="2"/>
      <c r="D48" s="2"/>
      <c r="E48" s="2"/>
      <c r="G48" s="2"/>
      <c r="H48" s="2"/>
      <c r="I48" s="81">
        <f>V38</f>
        <v>0.22576754114963646</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CE9E2-E000-458C-8A03-0FA958F4AA02}">
  <dimension ref="A1:AT48"/>
  <sheetViews>
    <sheetView topLeftCell="A10" zoomScaleNormal="100" workbookViewId="0">
      <selection activeCell="A48" sqref="A48"/>
    </sheetView>
  </sheetViews>
  <sheetFormatPr baseColWidth="10" defaultColWidth="8.83203125" defaultRowHeight="15" x14ac:dyDescent="0.2"/>
  <cols>
    <col min="1" max="1" width="25.5" customWidth="1"/>
    <col min="2" max="2" width="10.33203125" customWidth="1"/>
    <col min="9" max="9" width="10.6640625" customWidth="1"/>
    <col min="10" max="10" width="10" bestFit="1" customWidth="1"/>
    <col min="38" max="39" width="10.83203125" bestFit="1" customWidth="1"/>
    <col min="42" max="42" width="10.83203125" bestFit="1" customWidth="1"/>
    <col min="44" max="44" width="10.83203125" bestFit="1" customWidth="1"/>
    <col min="45" max="45" width="11.5" customWidth="1"/>
  </cols>
  <sheetData>
    <row r="1" spans="1:8" x14ac:dyDescent="0.2">
      <c r="A1" s="18" t="s">
        <v>17</v>
      </c>
    </row>
    <row r="2" spans="1:8" x14ac:dyDescent="0.2">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8" x14ac:dyDescent="0.2">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8" x14ac:dyDescent="0.2">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8" x14ac:dyDescent="0.2">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8" x14ac:dyDescent="0.2">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8" x14ac:dyDescent="0.2">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8" x14ac:dyDescent="0.2">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8" x14ac:dyDescent="0.2">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8" x14ac:dyDescent="0.2">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row>
    <row r="16" spans="1:8" x14ac:dyDescent="0.2">
      <c r="A16" s="83">
        <f>'Non-Rebalanced Strategy'!A16</f>
        <v>2019</v>
      </c>
      <c r="B16" s="82">
        <f>'Non-Rebalanced Strategy'!B16</f>
        <v>31.456</v>
      </c>
      <c r="C16" s="82">
        <f>'Non-Rebalanced Strategy'!C16</f>
        <v>0</v>
      </c>
      <c r="D16" s="82">
        <f>'Non-Rebalanced Strategy'!D16</f>
        <v>31.031600000000001</v>
      </c>
      <c r="E16" s="82">
        <f>'Non-Rebalanced Strategy'!E16</f>
        <v>27.3674</v>
      </c>
      <c r="F16" s="82">
        <f>'Non-Rebalanced Strategy'!F16</f>
        <v>0</v>
      </c>
      <c r="G16" s="82">
        <f>'Non-Rebalanced Strategy'!G16</f>
        <v>21.507999999999999</v>
      </c>
      <c r="H16" s="82">
        <f>'Non-Rebalanced Strategy'!H16</f>
        <v>8.7140000000000004</v>
      </c>
    </row>
    <row r="17" spans="1:46" x14ac:dyDescent="0.2">
      <c r="A17" s="83">
        <f>'Non-Rebalanced Strategy'!A17</f>
        <v>2020</v>
      </c>
      <c r="B17" s="82">
        <f>'Non-Rebalanced Strategy'!B17</f>
        <v>18.37</v>
      </c>
      <c r="C17" s="82">
        <f>'Non-Rebalanced Strategy'!C17</f>
        <v>0</v>
      </c>
      <c r="D17" s="82">
        <f>'Non-Rebalanced Strategy'!D17</f>
        <v>18.239999999999998</v>
      </c>
      <c r="E17" s="82">
        <f>'Non-Rebalanced Strategy'!E17</f>
        <v>19.11</v>
      </c>
      <c r="F17" s="82">
        <f>'Non-Rebalanced Strategy'!F17</f>
        <v>0</v>
      </c>
      <c r="G17" s="82">
        <f>'Non-Rebalanced Strategy'!G17</f>
        <v>11.28</v>
      </c>
      <c r="H17" s="82">
        <f>'Non-Rebalanced Strategy'!H17</f>
        <v>7.72</v>
      </c>
    </row>
    <row r="18" spans="1:46" x14ac:dyDescent="0.2">
      <c r="A18" s="1"/>
    </row>
    <row r="19" spans="1:46" x14ac:dyDescent="0.2">
      <c r="A19" s="1"/>
    </row>
    <row r="20" spans="1:46" x14ac:dyDescent="0.2">
      <c r="A20" s="18" t="s">
        <v>103</v>
      </c>
      <c r="O20" s="18" t="s">
        <v>109</v>
      </c>
      <c r="AA20" s="18" t="s">
        <v>110</v>
      </c>
      <c r="AK20" s="18" t="s">
        <v>111</v>
      </c>
    </row>
    <row r="21" spans="1:46" x14ac:dyDescent="0.2">
      <c r="B21" s="4" t="str">
        <f t="shared" ref="B21:H22" si="0">B2</f>
        <v>LC Stocks</v>
      </c>
      <c r="C21" s="4" t="str">
        <f t="shared" si="0"/>
        <v>Ext Mkt</v>
      </c>
      <c r="D21" s="4" t="str">
        <f t="shared" si="0"/>
        <v>Mcap Stk</v>
      </c>
      <c r="E21" s="4" t="str">
        <f t="shared" si="0"/>
        <v>Small Cap</v>
      </c>
      <c r="F21" s="4" t="str">
        <f t="shared" si="0"/>
        <v>Intl Val</v>
      </c>
      <c r="G21" s="4" t="str">
        <f t="shared" si="0"/>
        <v>Tot Int Stk</v>
      </c>
      <c r="H21" s="4" t="str">
        <f t="shared" si="0"/>
        <v>Bonds</v>
      </c>
      <c r="I21" s="5"/>
      <c r="J21" s="5" t="s">
        <v>42</v>
      </c>
      <c r="K21" s="5" t="s">
        <v>39</v>
      </c>
      <c r="L21" s="5" t="s">
        <v>40</v>
      </c>
      <c r="P21" s="4" t="str">
        <f>B21</f>
        <v>LC Stocks</v>
      </c>
      <c r="Q21" s="4" t="str">
        <f t="shared" ref="Q21:V22" si="1">C21</f>
        <v>Ext Mkt</v>
      </c>
      <c r="R21" s="4" t="str">
        <f t="shared" si="1"/>
        <v>Mcap Stk</v>
      </c>
      <c r="S21" s="4" t="str">
        <f t="shared" si="1"/>
        <v>Small Cap</v>
      </c>
      <c r="T21" s="4" t="str">
        <f t="shared" si="1"/>
        <v>Intl Val</v>
      </c>
      <c r="U21" s="4" t="str">
        <f t="shared" si="1"/>
        <v>Tot Int Stk</v>
      </c>
      <c r="V21" s="4" t="str">
        <f t="shared" si="1"/>
        <v>Bonds</v>
      </c>
      <c r="W21" s="5"/>
      <c r="X21" s="5" t="s">
        <v>171</v>
      </c>
      <c r="Y21" s="3" t="s">
        <v>172</v>
      </c>
      <c r="AB21" s="4" t="str">
        <f t="shared" ref="AB21:AH23" si="2">P21</f>
        <v>LC Stocks</v>
      </c>
      <c r="AC21" s="4" t="str">
        <f t="shared" si="2"/>
        <v>Ext Mkt</v>
      </c>
      <c r="AD21" s="4" t="str">
        <f t="shared" si="2"/>
        <v>Mcap Stk</v>
      </c>
      <c r="AE21" s="4" t="str">
        <f t="shared" si="2"/>
        <v>Small Cap</v>
      </c>
      <c r="AF21" s="4" t="str">
        <f t="shared" si="2"/>
        <v>Intl Val</v>
      </c>
      <c r="AG21" s="4" t="str">
        <f t="shared" si="2"/>
        <v>Tot Int Stk</v>
      </c>
      <c r="AH21" s="4" t="str">
        <f t="shared" si="2"/>
        <v>Bonds</v>
      </c>
      <c r="AI21" s="5"/>
      <c r="AL21" s="4" t="str">
        <f>AB21</f>
        <v>LC Stocks</v>
      </c>
      <c r="AM21" s="4" t="str">
        <f t="shared" ref="AM21:AS23" si="3">AC21</f>
        <v>Ext Mkt</v>
      </c>
      <c r="AN21" s="4" t="str">
        <f t="shared" si="3"/>
        <v>Mcap Stk</v>
      </c>
      <c r="AO21" s="4" t="str">
        <f t="shared" si="3"/>
        <v>Small Cap</v>
      </c>
      <c r="AP21" s="4" t="str">
        <f t="shared" si="3"/>
        <v>Intl Val</v>
      </c>
      <c r="AQ21" s="4" t="str">
        <f t="shared" si="3"/>
        <v>Tot Int Stk</v>
      </c>
      <c r="AR21" s="4" t="str">
        <f t="shared" si="3"/>
        <v>Bonds</v>
      </c>
      <c r="AS21" s="4"/>
      <c r="AT21" t="s">
        <v>54</v>
      </c>
    </row>
    <row r="22" spans="1:46" x14ac:dyDescent="0.2">
      <c r="A22" t="s">
        <v>38</v>
      </c>
      <c r="B22" s="4" t="str">
        <f t="shared" si="0"/>
        <v>VFINX</v>
      </c>
      <c r="C22" s="4" t="str">
        <f t="shared" si="0"/>
        <v>VEXMX</v>
      </c>
      <c r="D22" s="4" t="str">
        <f t="shared" si="0"/>
        <v>VIMSX</v>
      </c>
      <c r="E22" s="4" t="str">
        <f t="shared" si="0"/>
        <v>NAESX</v>
      </c>
      <c r="F22" s="4" t="str">
        <f t="shared" si="0"/>
        <v>VTRIX</v>
      </c>
      <c r="G22" s="4" t="str">
        <f t="shared" si="0"/>
        <v>VGTSX</v>
      </c>
      <c r="H22" s="4" t="str">
        <f t="shared" si="0"/>
        <v>VBMFX</v>
      </c>
      <c r="I22" s="5" t="s">
        <v>36</v>
      </c>
      <c r="J22" s="5" t="s">
        <v>43</v>
      </c>
      <c r="K22" s="5" t="s">
        <v>41</v>
      </c>
      <c r="L22" s="5" t="s">
        <v>41</v>
      </c>
      <c r="O22" t="s">
        <v>38</v>
      </c>
      <c r="P22" s="4" t="str">
        <f>B22</f>
        <v>VFINX</v>
      </c>
      <c r="Q22" s="4" t="str">
        <f t="shared" si="1"/>
        <v>VEXMX</v>
      </c>
      <c r="R22" s="4" t="str">
        <f t="shared" si="1"/>
        <v>VIMSX</v>
      </c>
      <c r="S22" s="4" t="str">
        <f t="shared" si="1"/>
        <v>NAESX</v>
      </c>
      <c r="T22" s="4" t="str">
        <f t="shared" si="1"/>
        <v>VTRIX</v>
      </c>
      <c r="U22" s="4" t="str">
        <f t="shared" si="1"/>
        <v>VGTSX</v>
      </c>
      <c r="V22" s="4" t="str">
        <f t="shared" si="1"/>
        <v>VBMFX</v>
      </c>
      <c r="W22" s="5" t="s">
        <v>36</v>
      </c>
      <c r="X22" s="5" t="s">
        <v>172</v>
      </c>
      <c r="Y22" s="3" t="s">
        <v>53</v>
      </c>
      <c r="AA22" t="str">
        <f>O22</f>
        <v>Fund</v>
      </c>
      <c r="AB22" s="4" t="str">
        <f t="shared" si="2"/>
        <v>VFINX</v>
      </c>
      <c r="AC22" s="4" t="str">
        <f t="shared" si="2"/>
        <v>VEXMX</v>
      </c>
      <c r="AD22" s="4" t="str">
        <f t="shared" si="2"/>
        <v>VIMSX</v>
      </c>
      <c r="AE22" s="4" t="str">
        <f t="shared" si="2"/>
        <v>NAESX</v>
      </c>
      <c r="AF22" s="4" t="str">
        <f t="shared" si="2"/>
        <v>VTRIX</v>
      </c>
      <c r="AG22" s="4" t="str">
        <f t="shared" si="2"/>
        <v>VGTSX</v>
      </c>
      <c r="AH22" s="4" t="str">
        <f t="shared" si="2"/>
        <v>VBMFX</v>
      </c>
      <c r="AI22" s="4" t="str">
        <f>W22</f>
        <v>Total</v>
      </c>
      <c r="AK22" t="s">
        <v>38</v>
      </c>
      <c r="AL22" s="4" t="str">
        <f>AB22</f>
        <v>VFINX</v>
      </c>
      <c r="AM22" s="4" t="str">
        <f t="shared" si="3"/>
        <v>VEXMX</v>
      </c>
      <c r="AN22" s="4" t="str">
        <f t="shared" si="3"/>
        <v>VIMSX</v>
      </c>
      <c r="AO22" s="4" t="str">
        <f t="shared" si="3"/>
        <v>NAESX</v>
      </c>
      <c r="AP22" s="4" t="str">
        <f t="shared" si="3"/>
        <v>VTRIX</v>
      </c>
      <c r="AQ22" s="4" t="str">
        <f t="shared" si="3"/>
        <v>VGTSX</v>
      </c>
      <c r="AR22" s="4" t="str">
        <f t="shared" si="3"/>
        <v>VBMFX</v>
      </c>
      <c r="AS22" s="4" t="str">
        <f t="shared" si="3"/>
        <v>Total</v>
      </c>
      <c r="AT22" t="s">
        <v>53</v>
      </c>
    </row>
    <row r="23" spans="1:46" x14ac:dyDescent="0.2">
      <c r="A23" t="s">
        <v>37</v>
      </c>
      <c r="B23" s="2">
        <v>60000</v>
      </c>
      <c r="C23" s="2"/>
      <c r="D23" s="2"/>
      <c r="E23" s="2"/>
      <c r="F23" s="2"/>
      <c r="G23" s="2"/>
      <c r="H23" s="2">
        <v>40000</v>
      </c>
      <c r="I23" s="2">
        <f>SUM(B23:H23)</f>
        <v>100000</v>
      </c>
      <c r="O23" s="19" t="s">
        <v>52</v>
      </c>
      <c r="P23" s="20">
        <f>B23/$I23</f>
        <v>0.6</v>
      </c>
      <c r="Q23" s="20"/>
      <c r="R23" s="53">
        <v>0</v>
      </c>
      <c r="S23" s="53">
        <v>0</v>
      </c>
      <c r="T23" s="20"/>
      <c r="U23" s="53">
        <v>0</v>
      </c>
      <c r="V23" s="20">
        <f>H23/$I23</f>
        <v>0.4</v>
      </c>
      <c r="W23" s="20">
        <f>I23/$I23</f>
        <v>1</v>
      </c>
      <c r="X23" s="22"/>
      <c r="AA23" s="19" t="str">
        <f>O23</f>
        <v>Target Allocation</v>
      </c>
      <c r="AB23" s="22">
        <f t="shared" si="2"/>
        <v>0.6</v>
      </c>
      <c r="AC23" s="22">
        <f t="shared" si="2"/>
        <v>0</v>
      </c>
      <c r="AD23" s="23">
        <f t="shared" si="2"/>
        <v>0</v>
      </c>
      <c r="AE23" s="23">
        <f t="shared" si="2"/>
        <v>0</v>
      </c>
      <c r="AF23" s="22">
        <f t="shared" si="2"/>
        <v>0</v>
      </c>
      <c r="AG23" s="23">
        <f t="shared" si="2"/>
        <v>0</v>
      </c>
      <c r="AH23" s="22">
        <f t="shared" si="2"/>
        <v>0.4</v>
      </c>
      <c r="AI23" s="22">
        <f>W23</f>
        <v>1</v>
      </c>
      <c r="AK23" s="19" t="str">
        <f>AA23</f>
        <v>Target Allocation</v>
      </c>
      <c r="AL23" s="22">
        <f>AB23</f>
        <v>0.6</v>
      </c>
      <c r="AM23" s="22"/>
      <c r="AN23" s="23">
        <f t="shared" si="3"/>
        <v>0</v>
      </c>
      <c r="AO23" s="23">
        <f t="shared" si="3"/>
        <v>0</v>
      </c>
      <c r="AP23" s="22"/>
      <c r="AQ23" s="23">
        <f t="shared" si="3"/>
        <v>0</v>
      </c>
      <c r="AR23" s="22">
        <f t="shared" si="3"/>
        <v>0.4</v>
      </c>
      <c r="AS23" s="22">
        <f t="shared" si="3"/>
        <v>1</v>
      </c>
      <c r="AT23" s="2"/>
    </row>
    <row r="24" spans="1:46" x14ac:dyDescent="0.2">
      <c r="A24">
        <f t="shared" ref="A24:A37" si="4">A4</f>
        <v>2007</v>
      </c>
      <c r="B24" s="2">
        <f>B$23*(1+(B4/100))</f>
        <v>63234</v>
      </c>
      <c r="C24" s="2"/>
      <c r="D24" s="2"/>
      <c r="E24" s="2"/>
      <c r="F24" s="2"/>
      <c r="G24" s="2"/>
      <c r="H24" s="2">
        <f>H$23*(1+(H4/100))</f>
        <v>42768</v>
      </c>
      <c r="I24" s="2">
        <f t="shared" ref="I24:I26" si="5">SUM(B24:H24)</f>
        <v>106002</v>
      </c>
      <c r="J24" s="2">
        <f t="shared" ref="J24:J33" si="6">I24-I23</f>
        <v>6002</v>
      </c>
      <c r="K24" s="6">
        <f t="shared" ref="K24:K33" si="7">(J24/I23)</f>
        <v>6.0019999999999997E-2</v>
      </c>
      <c r="L24" s="7">
        <f t="shared" ref="L24:L33" si="8">K24+1</f>
        <v>1.06002</v>
      </c>
      <c r="O24">
        <f t="shared" ref="O24:O33" si="9">A24</f>
        <v>2007</v>
      </c>
      <c r="P24" s="6">
        <f t="shared" ref="P24:V33" si="10">B24/$I24</f>
        <v>0.59653591441670917</v>
      </c>
      <c r="Q24" s="6"/>
      <c r="R24" s="6"/>
      <c r="S24" s="6"/>
      <c r="T24" s="6"/>
      <c r="U24" s="6"/>
      <c r="V24" s="6">
        <f t="shared" si="10"/>
        <v>0.40346408558329089</v>
      </c>
      <c r="W24" s="20">
        <f>SUM(P24:V24)</f>
        <v>1</v>
      </c>
      <c r="X24" s="7">
        <f>SUM(P24:U24)</f>
        <v>0.59653591441670917</v>
      </c>
      <c r="Y24" s="7">
        <f>W24-(X24+V24)</f>
        <v>0</v>
      </c>
      <c r="AA24">
        <f t="shared" ref="AA24:AA33" si="11">O24</f>
        <v>2007</v>
      </c>
      <c r="AB24" s="1" t="b">
        <f>AND((B24/$I24)&gt;0.55,(B24/$I24)&lt;0.65)</f>
        <v>1</v>
      </c>
      <c r="AD24" s="1"/>
      <c r="AE24" s="1"/>
      <c r="AG24" s="1"/>
      <c r="AH24" s="1" t="b">
        <f>AND((H24/$I24)&gt;0.35,(H24/$I24)&lt;0.45)</f>
        <v>1</v>
      </c>
      <c r="AI24" s="1" t="b">
        <f t="shared" ref="AI24:AI33" si="12">AND((I24/$I24)&gt;0.999,(I24/$I24)&lt;1.01)</f>
        <v>1</v>
      </c>
      <c r="AK24">
        <f t="shared" ref="AK24:AK33" si="13">A24</f>
        <v>2007</v>
      </c>
      <c r="AL24" s="24">
        <f>AL$23*$AS24</f>
        <v>63601.2</v>
      </c>
      <c r="AM24" s="2"/>
      <c r="AN24" s="58"/>
      <c r="AO24" s="58"/>
      <c r="AP24" s="58"/>
      <c r="AQ24" s="58"/>
      <c r="AR24" s="24">
        <f>AR$23*$AS24</f>
        <v>42400.800000000003</v>
      </c>
      <c r="AS24" s="2">
        <f t="shared" ref="AS24:AS33" si="14">I24</f>
        <v>106002</v>
      </c>
      <c r="AT24" s="2">
        <f t="shared" ref="AT24:AT33" si="15">(SUM(AL24:AR24))-AS24</f>
        <v>0</v>
      </c>
    </row>
    <row r="25" spans="1:46" x14ac:dyDescent="0.2">
      <c r="A25">
        <f t="shared" si="4"/>
        <v>2008</v>
      </c>
      <c r="B25" s="2">
        <f t="shared" ref="B25:B37" si="16">AL24*(1+(B5/100))</f>
        <v>40056.035759999992</v>
      </c>
      <c r="C25" s="2"/>
      <c r="D25" s="2"/>
      <c r="E25" s="2"/>
      <c r="F25" s="2"/>
      <c r="G25" s="2"/>
      <c r="H25" s="2">
        <f t="shared" ref="H25:H37" si="17">AR24*(1+(H5/100))</f>
        <v>44542.040400000005</v>
      </c>
      <c r="I25" s="2">
        <f t="shared" si="5"/>
        <v>84598.076159999997</v>
      </c>
      <c r="J25" s="2">
        <f t="shared" si="6"/>
        <v>-21403.923840000003</v>
      </c>
      <c r="K25" s="6">
        <f t="shared" si="7"/>
        <v>-0.20192000000000002</v>
      </c>
      <c r="L25" s="7">
        <f t="shared" si="8"/>
        <v>0.79808000000000001</v>
      </c>
      <c r="O25">
        <f t="shared" si="9"/>
        <v>2008</v>
      </c>
      <c r="P25" s="6">
        <f t="shared" si="10"/>
        <v>0.47348636728147547</v>
      </c>
      <c r="Q25" s="6"/>
      <c r="R25" s="6"/>
      <c r="S25" s="6"/>
      <c r="T25" s="6"/>
      <c r="U25" s="6"/>
      <c r="V25" s="6">
        <f t="shared" si="10"/>
        <v>0.52651363271852458</v>
      </c>
      <c r="W25" s="20">
        <f t="shared" ref="W25:W28" si="18">SUM(P25:V25)</f>
        <v>1</v>
      </c>
      <c r="X25" s="7">
        <f t="shared" ref="X25:X35" si="19">SUM(P25:U25)</f>
        <v>0.47348636728147547</v>
      </c>
      <c r="Y25" s="7">
        <f t="shared" ref="Y25:Y35" si="20">W25-(X25+V25)</f>
        <v>0</v>
      </c>
      <c r="AA25">
        <f t="shared" si="11"/>
        <v>2008</v>
      </c>
      <c r="AB25" s="1" t="b">
        <f t="shared" ref="AB25:AB33" si="21">AND((B25/$I25)&gt;0.55,(B25/$I25)&lt;0.65)</f>
        <v>0</v>
      </c>
      <c r="AD25" s="1"/>
      <c r="AE25" s="1"/>
      <c r="AG25" s="1"/>
      <c r="AH25" s="1" t="b">
        <f t="shared" ref="AH25:AH33" si="22">AND((H25/$I25)&gt;0.35,(H25/$I25)&lt;0.45)</f>
        <v>0</v>
      </c>
      <c r="AI25" s="1" t="b">
        <f t="shared" si="12"/>
        <v>1</v>
      </c>
      <c r="AK25">
        <f t="shared" si="13"/>
        <v>2008</v>
      </c>
      <c r="AL25" s="24">
        <f t="shared" ref="AL25:AL37" si="23">AL$23*$AS25</f>
        <v>50758.845695999997</v>
      </c>
      <c r="AM25" s="2"/>
      <c r="AN25" s="58"/>
      <c r="AO25" s="58"/>
      <c r="AP25" s="58"/>
      <c r="AQ25" s="58"/>
      <c r="AR25" s="24">
        <f t="shared" ref="AR25:AR37" si="24">AR$23*$AS25</f>
        <v>33839.230464</v>
      </c>
      <c r="AS25" s="2">
        <f t="shared" si="14"/>
        <v>84598.076159999997</v>
      </c>
      <c r="AT25" s="2">
        <f t="shared" si="15"/>
        <v>0</v>
      </c>
    </row>
    <row r="26" spans="1:46" x14ac:dyDescent="0.2">
      <c r="A26">
        <f t="shared" si="4"/>
        <v>2009</v>
      </c>
      <c r="B26" s="2">
        <f t="shared" si="16"/>
        <v>64204.86392087039</v>
      </c>
      <c r="C26" s="2"/>
      <c r="D26" s="2"/>
      <c r="E26" s="2"/>
      <c r="F26" s="2"/>
      <c r="G26" s="2"/>
      <c r="H26" s="2">
        <f t="shared" si="17"/>
        <v>35845.896830515194</v>
      </c>
      <c r="I26" s="2">
        <f t="shared" si="5"/>
        <v>100050.76075138559</v>
      </c>
      <c r="J26" s="2">
        <f t="shared" si="6"/>
        <v>15452.684591385594</v>
      </c>
      <c r="K26" s="6">
        <f t="shared" si="7"/>
        <v>0.18265999999999993</v>
      </c>
      <c r="L26" s="7">
        <f t="shared" si="8"/>
        <v>1.1826599999999998</v>
      </c>
      <c r="O26">
        <f t="shared" si="9"/>
        <v>2009</v>
      </c>
      <c r="P26" s="6">
        <f t="shared" si="10"/>
        <v>0.64172289584495967</v>
      </c>
      <c r="Q26" s="6"/>
      <c r="R26" s="6"/>
      <c r="S26" s="6"/>
      <c r="T26" s="6"/>
      <c r="U26" s="6"/>
      <c r="V26" s="57">
        <f t="shared" si="10"/>
        <v>0.35827710415504033</v>
      </c>
      <c r="W26" s="20">
        <f t="shared" si="18"/>
        <v>1</v>
      </c>
      <c r="X26" s="7">
        <f t="shared" si="19"/>
        <v>0.64172289584495967</v>
      </c>
      <c r="Y26" s="7">
        <f t="shared" si="20"/>
        <v>0</v>
      </c>
      <c r="AA26">
        <f t="shared" si="11"/>
        <v>2009</v>
      </c>
      <c r="AB26" s="1" t="b">
        <f t="shared" si="21"/>
        <v>1</v>
      </c>
      <c r="AD26" s="1"/>
      <c r="AE26" s="1"/>
      <c r="AG26" s="1"/>
      <c r="AH26" s="1" t="b">
        <f t="shared" si="22"/>
        <v>1</v>
      </c>
      <c r="AI26" s="1" t="b">
        <f t="shared" si="12"/>
        <v>1</v>
      </c>
      <c r="AK26">
        <f t="shared" si="13"/>
        <v>2009</v>
      </c>
      <c r="AL26" s="24">
        <f t="shared" si="23"/>
        <v>60030.456450831349</v>
      </c>
      <c r="AM26" s="2"/>
      <c r="AN26" s="58"/>
      <c r="AO26" s="58"/>
      <c r="AP26" s="58"/>
      <c r="AQ26" s="58"/>
      <c r="AR26" s="24">
        <f t="shared" si="24"/>
        <v>40020.304300554242</v>
      </c>
      <c r="AS26" s="2">
        <f t="shared" si="14"/>
        <v>100050.76075138559</v>
      </c>
      <c r="AT26" s="2">
        <f t="shared" si="15"/>
        <v>0</v>
      </c>
    </row>
    <row r="27" spans="1:46" x14ac:dyDescent="0.2">
      <c r="A27">
        <f t="shared" si="4"/>
        <v>2010</v>
      </c>
      <c r="B27" s="2">
        <f t="shared" si="16"/>
        <v>68980.997507650303</v>
      </c>
      <c r="C27" s="2"/>
      <c r="D27" s="2"/>
      <c r="E27" s="2"/>
      <c r="F27" s="2"/>
      <c r="G27" s="2"/>
      <c r="H27" s="2">
        <f t="shared" si="17"/>
        <v>42589.607836649826</v>
      </c>
      <c r="I27" s="2">
        <f t="shared" ref="I27:I31" si="25">SUM(B27:H27)</f>
        <v>111570.60534430013</v>
      </c>
      <c r="J27" s="2">
        <f t="shared" si="6"/>
        <v>11519.844592914538</v>
      </c>
      <c r="K27" s="6">
        <f t="shared" si="7"/>
        <v>0.11514000000000001</v>
      </c>
      <c r="L27" s="7">
        <f t="shared" si="8"/>
        <v>1.11514</v>
      </c>
      <c r="O27">
        <f t="shared" si="9"/>
        <v>2010</v>
      </c>
      <c r="P27" s="6">
        <f t="shared" si="10"/>
        <v>0.61827214520149931</v>
      </c>
      <c r="Q27" s="6"/>
      <c r="R27" s="6"/>
      <c r="S27" s="6"/>
      <c r="T27" s="6"/>
      <c r="U27" s="6"/>
      <c r="V27" s="6">
        <f t="shared" si="10"/>
        <v>0.38172785479850069</v>
      </c>
      <c r="W27" s="20">
        <f t="shared" si="18"/>
        <v>1</v>
      </c>
      <c r="X27" s="7">
        <f t="shared" si="19"/>
        <v>0.61827214520149931</v>
      </c>
      <c r="Y27" s="7">
        <f t="shared" si="20"/>
        <v>0</v>
      </c>
      <c r="AA27">
        <f t="shared" si="11"/>
        <v>2010</v>
      </c>
      <c r="AB27" s="1" t="b">
        <f t="shared" si="21"/>
        <v>1</v>
      </c>
      <c r="AD27" s="1"/>
      <c r="AE27" s="1"/>
      <c r="AG27" s="1"/>
      <c r="AH27" s="1" t="b">
        <f t="shared" si="22"/>
        <v>1</v>
      </c>
      <c r="AI27" s="1" t="b">
        <f t="shared" si="12"/>
        <v>1</v>
      </c>
      <c r="AK27">
        <f t="shared" si="13"/>
        <v>2010</v>
      </c>
      <c r="AL27" s="24">
        <f t="shared" si="23"/>
        <v>66942.363206580078</v>
      </c>
      <c r="AM27" s="2"/>
      <c r="AN27" s="58"/>
      <c r="AO27" s="58"/>
      <c r="AP27" s="58"/>
      <c r="AQ27" s="58"/>
      <c r="AR27" s="24">
        <f t="shared" si="24"/>
        <v>44628.242137720052</v>
      </c>
      <c r="AS27" s="2">
        <f t="shared" si="14"/>
        <v>111570.60534430013</v>
      </c>
      <c r="AT27" s="2">
        <f t="shared" si="15"/>
        <v>0</v>
      </c>
    </row>
    <row r="28" spans="1:46" x14ac:dyDescent="0.2">
      <c r="A28">
        <f t="shared" si="4"/>
        <v>2011</v>
      </c>
      <c r="B28" s="2">
        <f t="shared" si="16"/>
        <v>68261.127761749711</v>
      </c>
      <c r="C28" s="2"/>
      <c r="D28" s="2"/>
      <c r="E28" s="2"/>
      <c r="F28" s="2"/>
      <c r="G28" s="2"/>
      <c r="H28" s="2">
        <f t="shared" si="17"/>
        <v>48002.137243331694</v>
      </c>
      <c r="I28" s="2">
        <f t="shared" si="25"/>
        <v>116263.2650050814</v>
      </c>
      <c r="J28" s="2">
        <f t="shared" si="6"/>
        <v>4692.659660781268</v>
      </c>
      <c r="K28" s="6">
        <f t="shared" si="7"/>
        <v>4.2060000000000042E-2</v>
      </c>
      <c r="L28" s="7">
        <f t="shared" si="8"/>
        <v>1.04206</v>
      </c>
      <c r="O28">
        <f t="shared" si="9"/>
        <v>2011</v>
      </c>
      <c r="P28" s="57">
        <f t="shared" si="10"/>
        <v>0.58712550141066733</v>
      </c>
      <c r="Q28" s="6"/>
      <c r="R28" s="6"/>
      <c r="S28" s="6"/>
      <c r="T28" s="7"/>
      <c r="U28" s="6"/>
      <c r="V28" s="6">
        <f t="shared" si="10"/>
        <v>0.41287449858933273</v>
      </c>
      <c r="W28" s="20">
        <f t="shared" si="18"/>
        <v>1</v>
      </c>
      <c r="X28" s="7">
        <f t="shared" si="19"/>
        <v>0.58712550141066733</v>
      </c>
      <c r="Y28" s="7">
        <f t="shared" si="20"/>
        <v>0</v>
      </c>
      <c r="AA28">
        <f t="shared" si="11"/>
        <v>2011</v>
      </c>
      <c r="AB28" s="1" t="b">
        <f t="shared" si="21"/>
        <v>1</v>
      </c>
      <c r="AD28" s="1"/>
      <c r="AE28" s="1"/>
      <c r="AG28" s="1"/>
      <c r="AH28" s="1" t="b">
        <f t="shared" si="22"/>
        <v>1</v>
      </c>
      <c r="AI28" s="1" t="b">
        <f t="shared" si="12"/>
        <v>1</v>
      </c>
      <c r="AK28">
        <f t="shared" si="13"/>
        <v>2011</v>
      </c>
      <c r="AL28" s="24">
        <f t="shared" si="23"/>
        <v>69757.959003048833</v>
      </c>
      <c r="AM28" s="58"/>
      <c r="AN28" s="58"/>
      <c r="AO28" s="58"/>
      <c r="AP28" s="58"/>
      <c r="AQ28" s="58"/>
      <c r="AR28" s="24">
        <f t="shared" si="24"/>
        <v>46505.306002032565</v>
      </c>
      <c r="AS28" s="2">
        <f t="shared" si="14"/>
        <v>116263.2650050814</v>
      </c>
      <c r="AT28" s="2">
        <f t="shared" si="15"/>
        <v>0</v>
      </c>
    </row>
    <row r="29" spans="1:46" x14ac:dyDescent="0.2">
      <c r="A29">
        <f t="shared" si="4"/>
        <v>2012</v>
      </c>
      <c r="B29" s="2">
        <f t="shared" si="16"/>
        <v>80793.668117331152</v>
      </c>
      <c r="C29" s="2"/>
      <c r="D29" s="2"/>
      <c r="E29" s="2"/>
      <c r="F29" s="2"/>
      <c r="G29" s="2"/>
      <c r="H29" s="2">
        <f t="shared" si="17"/>
        <v>48388.770895114882</v>
      </c>
      <c r="I29" s="2">
        <f t="shared" si="25"/>
        <v>129182.43901244603</v>
      </c>
      <c r="J29" s="2">
        <f t="shared" si="6"/>
        <v>12919.174007364636</v>
      </c>
      <c r="K29" s="6">
        <f t="shared" si="7"/>
        <v>0.11111999999999993</v>
      </c>
      <c r="L29" s="7">
        <f t="shared" si="8"/>
        <v>1.1111199999999999</v>
      </c>
      <c r="O29">
        <f t="shared" si="9"/>
        <v>2012</v>
      </c>
      <c r="P29" s="6">
        <f t="shared" si="10"/>
        <v>0.62542299661602696</v>
      </c>
      <c r="Q29" s="6"/>
      <c r="R29" s="6"/>
      <c r="S29" s="6"/>
      <c r="T29" s="6"/>
      <c r="U29" s="6"/>
      <c r="V29" s="6">
        <f t="shared" si="10"/>
        <v>0.37457700338397298</v>
      </c>
      <c r="W29" s="20">
        <f t="shared" ref="W29:W33" si="26">SUM(P29:V29)</f>
        <v>1</v>
      </c>
      <c r="X29" s="7">
        <f t="shared" si="19"/>
        <v>0.62542299661602696</v>
      </c>
      <c r="Y29" s="7">
        <f t="shared" si="20"/>
        <v>0</v>
      </c>
      <c r="AA29">
        <f t="shared" si="11"/>
        <v>2012</v>
      </c>
      <c r="AB29" s="1" t="b">
        <f t="shared" si="21"/>
        <v>1</v>
      </c>
      <c r="AD29" s="1"/>
      <c r="AE29" s="1"/>
      <c r="AG29" s="1"/>
      <c r="AH29" s="1" t="b">
        <f t="shared" si="22"/>
        <v>1</v>
      </c>
      <c r="AI29" s="1" t="b">
        <f t="shared" si="12"/>
        <v>1</v>
      </c>
      <c r="AK29">
        <f t="shared" si="13"/>
        <v>2012</v>
      </c>
      <c r="AL29" s="24">
        <f t="shared" si="23"/>
        <v>77509.463407467614</v>
      </c>
      <c r="AM29" s="58"/>
      <c r="AN29" s="58"/>
      <c r="AO29" s="58"/>
      <c r="AP29" s="58"/>
      <c r="AQ29" s="58"/>
      <c r="AR29" s="24">
        <f t="shared" si="24"/>
        <v>51672.975604978419</v>
      </c>
      <c r="AS29" s="2">
        <f t="shared" si="14"/>
        <v>129182.43901244603</v>
      </c>
      <c r="AT29" s="2">
        <f t="shared" si="15"/>
        <v>0</v>
      </c>
    </row>
    <row r="30" spans="1:46" x14ac:dyDescent="0.2">
      <c r="A30">
        <f t="shared" si="4"/>
        <v>2013</v>
      </c>
      <c r="B30" s="2">
        <f t="shared" si="16"/>
        <v>102452.0087319907</v>
      </c>
      <c r="C30" s="2"/>
      <c r="D30" s="2"/>
      <c r="E30" s="2"/>
      <c r="F30" s="2"/>
      <c r="G30" s="2"/>
      <c r="H30" s="2">
        <f t="shared" si="17"/>
        <v>50505.166356305912</v>
      </c>
      <c r="I30" s="2">
        <f t="shared" si="25"/>
        <v>152957.17508829662</v>
      </c>
      <c r="J30" s="2">
        <f t="shared" si="6"/>
        <v>23774.736075850582</v>
      </c>
      <c r="K30" s="6">
        <f t="shared" si="7"/>
        <v>0.18404000000000012</v>
      </c>
      <c r="L30" s="7">
        <f t="shared" si="8"/>
        <v>1.1840400000000002</v>
      </c>
      <c r="O30">
        <f t="shared" si="9"/>
        <v>2013</v>
      </c>
      <c r="P30" s="6">
        <f t="shared" si="10"/>
        <v>0.66980845241714804</v>
      </c>
      <c r="Q30" s="6"/>
      <c r="R30" s="6"/>
      <c r="S30" s="6"/>
      <c r="T30" s="6"/>
      <c r="U30" s="6"/>
      <c r="V30" s="6">
        <f t="shared" si="10"/>
        <v>0.33019154758285196</v>
      </c>
      <c r="W30" s="20">
        <f t="shared" si="26"/>
        <v>1</v>
      </c>
      <c r="X30" s="7">
        <f t="shared" si="19"/>
        <v>0.66980845241714804</v>
      </c>
      <c r="Y30" s="7">
        <f t="shared" si="20"/>
        <v>0</v>
      </c>
      <c r="AA30">
        <f t="shared" si="11"/>
        <v>2013</v>
      </c>
      <c r="AB30" s="1" t="b">
        <f t="shared" si="21"/>
        <v>0</v>
      </c>
      <c r="AD30" s="1"/>
      <c r="AE30" s="1"/>
      <c r="AG30" s="1"/>
      <c r="AH30" s="1" t="b">
        <f t="shared" si="22"/>
        <v>0</v>
      </c>
      <c r="AI30" s="1" t="b">
        <f t="shared" si="12"/>
        <v>1</v>
      </c>
      <c r="AK30">
        <f t="shared" si="13"/>
        <v>2013</v>
      </c>
      <c r="AL30" s="24">
        <f t="shared" si="23"/>
        <v>91774.305052977972</v>
      </c>
      <c r="AM30" s="2"/>
      <c r="AN30" s="58"/>
      <c r="AO30" s="58"/>
      <c r="AP30" s="58"/>
      <c r="AQ30" s="58"/>
      <c r="AR30" s="24">
        <f t="shared" si="24"/>
        <v>61182.87003531865</v>
      </c>
      <c r="AS30" s="2">
        <f t="shared" si="14"/>
        <v>152957.17508829662</v>
      </c>
      <c r="AT30" s="2">
        <f t="shared" si="15"/>
        <v>0</v>
      </c>
    </row>
    <row r="31" spans="1:46" x14ac:dyDescent="0.2">
      <c r="A31">
        <f t="shared" si="4"/>
        <v>2014</v>
      </c>
      <c r="B31" s="2">
        <f t="shared" si="16"/>
        <v>104173.0136656353</v>
      </c>
      <c r="C31" s="2"/>
      <c r="D31" s="2"/>
      <c r="E31" s="2"/>
      <c r="F31" s="2"/>
      <c r="G31" s="2"/>
      <c r="H31" s="2">
        <f t="shared" si="17"/>
        <v>64707.003349353014</v>
      </c>
      <c r="I31" s="2">
        <f t="shared" si="25"/>
        <v>168880.01701498832</v>
      </c>
      <c r="J31" s="2">
        <f t="shared" si="6"/>
        <v>15922.841926691704</v>
      </c>
      <c r="K31" s="6">
        <f t="shared" si="7"/>
        <v>0.10410000000000018</v>
      </c>
      <c r="L31" s="7">
        <f t="shared" si="8"/>
        <v>1.1041000000000001</v>
      </c>
      <c r="O31">
        <f t="shared" si="9"/>
        <v>2014</v>
      </c>
      <c r="P31" s="6">
        <f t="shared" si="10"/>
        <v>0.61684630015397146</v>
      </c>
      <c r="Q31" s="6"/>
      <c r="R31" s="6"/>
      <c r="S31" s="6"/>
      <c r="T31" s="6"/>
      <c r="U31" s="6"/>
      <c r="V31" s="6">
        <f t="shared" si="10"/>
        <v>0.38315369984602848</v>
      </c>
      <c r="W31" s="20">
        <f t="shared" si="26"/>
        <v>1</v>
      </c>
      <c r="X31" s="7">
        <f t="shared" si="19"/>
        <v>0.61684630015397146</v>
      </c>
      <c r="Y31" s="7">
        <f t="shared" si="20"/>
        <v>0</v>
      </c>
      <c r="AA31">
        <f t="shared" si="11"/>
        <v>2014</v>
      </c>
      <c r="AB31" s="1" t="b">
        <f t="shared" si="21"/>
        <v>1</v>
      </c>
      <c r="AD31" s="1"/>
      <c r="AE31" s="1"/>
      <c r="AG31" s="1"/>
      <c r="AH31" s="1" t="b">
        <f t="shared" si="22"/>
        <v>1</v>
      </c>
      <c r="AI31" s="1" t="b">
        <f t="shared" si="12"/>
        <v>1</v>
      </c>
      <c r="AK31">
        <f t="shared" si="13"/>
        <v>2014</v>
      </c>
      <c r="AL31" s="24">
        <f t="shared" si="23"/>
        <v>101328.01020899299</v>
      </c>
      <c r="AM31" s="58"/>
      <c r="AN31" s="58"/>
      <c r="AO31" s="58"/>
      <c r="AP31" s="58"/>
      <c r="AQ31" s="58"/>
      <c r="AR31" s="24">
        <f t="shared" si="24"/>
        <v>67552.006805995334</v>
      </c>
      <c r="AS31" s="2">
        <f t="shared" si="14"/>
        <v>168880.01701498832</v>
      </c>
      <c r="AT31" s="2">
        <f t="shared" si="15"/>
        <v>0</v>
      </c>
    </row>
    <row r="32" spans="1:46" x14ac:dyDescent="0.2">
      <c r="A32">
        <f t="shared" si="4"/>
        <v>2015</v>
      </c>
      <c r="B32" s="2">
        <f t="shared" si="16"/>
        <v>102594.61033660539</v>
      </c>
      <c r="C32" s="2"/>
      <c r="D32" s="2"/>
      <c r="E32" s="2"/>
      <c r="F32" s="2"/>
      <c r="G32" s="2"/>
      <c r="H32" s="2">
        <f t="shared" si="17"/>
        <v>67754.662826413318</v>
      </c>
      <c r="I32" s="2">
        <f t="shared" ref="I32:I33" si="27">SUM(B32:H32)</f>
        <v>170349.27316301869</v>
      </c>
      <c r="J32" s="2">
        <f t="shared" si="6"/>
        <v>1469.2561480303702</v>
      </c>
      <c r="K32" s="6">
        <f t="shared" si="7"/>
        <v>8.6999999999998329E-3</v>
      </c>
      <c r="L32" s="7">
        <f t="shared" si="8"/>
        <v>1.0086999999999999</v>
      </c>
      <c r="O32">
        <f t="shared" si="9"/>
        <v>2015</v>
      </c>
      <c r="P32" s="6">
        <f t="shared" si="10"/>
        <v>0.60226033508476251</v>
      </c>
      <c r="Q32" s="6"/>
      <c r="R32" s="6"/>
      <c r="S32" s="6"/>
      <c r="T32" s="6"/>
      <c r="U32" s="6"/>
      <c r="V32" s="6">
        <f t="shared" si="10"/>
        <v>0.39773966491523755</v>
      </c>
      <c r="W32" s="20">
        <f t="shared" si="26"/>
        <v>1</v>
      </c>
      <c r="X32" s="7">
        <f t="shared" si="19"/>
        <v>0.60226033508476251</v>
      </c>
      <c r="Y32" s="7">
        <f t="shared" si="20"/>
        <v>0</v>
      </c>
      <c r="AA32">
        <f t="shared" si="11"/>
        <v>2015</v>
      </c>
      <c r="AB32" s="1" t="b">
        <f t="shared" si="21"/>
        <v>1</v>
      </c>
      <c r="AD32" s="1"/>
      <c r="AE32" s="1"/>
      <c r="AG32" s="1"/>
      <c r="AH32" s="1" t="b">
        <f t="shared" si="22"/>
        <v>1</v>
      </c>
      <c r="AI32" s="1" t="b">
        <f t="shared" si="12"/>
        <v>1</v>
      </c>
      <c r="AK32">
        <f t="shared" si="13"/>
        <v>2015</v>
      </c>
      <c r="AL32" s="24">
        <f t="shared" si="23"/>
        <v>102209.56389781121</v>
      </c>
      <c r="AM32" s="58"/>
      <c r="AN32" s="58"/>
      <c r="AO32" s="58"/>
      <c r="AP32" s="58"/>
      <c r="AQ32" s="58"/>
      <c r="AR32" s="24">
        <f t="shared" si="24"/>
        <v>68139.709265207479</v>
      </c>
      <c r="AS32" s="2">
        <f t="shared" si="14"/>
        <v>170349.27316301869</v>
      </c>
      <c r="AT32" s="2">
        <f t="shared" si="15"/>
        <v>0</v>
      </c>
    </row>
    <row r="33" spans="1:46" x14ac:dyDescent="0.2">
      <c r="A33">
        <f t="shared" si="4"/>
        <v>2016</v>
      </c>
      <c r="B33" s="2">
        <f t="shared" si="16"/>
        <v>114290.73435053251</v>
      </c>
      <c r="C33" s="2"/>
      <c r="D33" s="2"/>
      <c r="E33" s="2"/>
      <c r="F33" s="2"/>
      <c r="G33" s="2"/>
      <c r="H33" s="2">
        <f t="shared" si="17"/>
        <v>69843.201996837655</v>
      </c>
      <c r="I33" s="2">
        <f t="shared" si="27"/>
        <v>184133.93634737015</v>
      </c>
      <c r="J33" s="2">
        <f t="shared" si="6"/>
        <v>13784.663184351462</v>
      </c>
      <c r="K33" s="6">
        <f t="shared" si="7"/>
        <v>8.0919999999999936E-2</v>
      </c>
      <c r="L33" s="7">
        <f t="shared" si="8"/>
        <v>1.0809199999999999</v>
      </c>
      <c r="O33">
        <f t="shared" si="9"/>
        <v>2016</v>
      </c>
      <c r="P33" s="6">
        <f t="shared" si="10"/>
        <v>0.62069348332901608</v>
      </c>
      <c r="Q33" s="6"/>
      <c r="R33" s="6"/>
      <c r="S33" s="6"/>
      <c r="T33" s="6"/>
      <c r="U33" s="6"/>
      <c r="V33" s="6">
        <f t="shared" si="10"/>
        <v>0.37930651667098397</v>
      </c>
      <c r="W33" s="20">
        <f t="shared" si="26"/>
        <v>1</v>
      </c>
      <c r="X33" s="7">
        <f t="shared" si="19"/>
        <v>0.62069348332901608</v>
      </c>
      <c r="Y33" s="7">
        <f t="shared" si="20"/>
        <v>0</v>
      </c>
      <c r="AA33">
        <f t="shared" si="11"/>
        <v>2016</v>
      </c>
      <c r="AB33" s="1" t="b">
        <f t="shared" si="21"/>
        <v>1</v>
      </c>
      <c r="AD33" s="1"/>
      <c r="AE33" s="1"/>
      <c r="AG33" s="1"/>
      <c r="AH33" s="1" t="b">
        <f t="shared" si="22"/>
        <v>1</v>
      </c>
      <c r="AI33" s="1" t="b">
        <f t="shared" si="12"/>
        <v>1</v>
      </c>
      <c r="AK33">
        <f t="shared" si="13"/>
        <v>2016</v>
      </c>
      <c r="AL33" s="24">
        <f t="shared" si="23"/>
        <v>110480.36180842209</v>
      </c>
      <c r="AM33" s="58"/>
      <c r="AN33" s="58"/>
      <c r="AO33" s="58"/>
      <c r="AP33" s="58"/>
      <c r="AQ33" s="58"/>
      <c r="AR33" s="24">
        <f t="shared" si="24"/>
        <v>73653.574538948058</v>
      </c>
      <c r="AS33" s="2">
        <f t="shared" si="14"/>
        <v>184133.93634737015</v>
      </c>
      <c r="AT33" s="2">
        <f t="shared" si="15"/>
        <v>0</v>
      </c>
    </row>
    <row r="34" spans="1:46" x14ac:dyDescent="0.2">
      <c r="A34">
        <f t="shared" si="4"/>
        <v>2017</v>
      </c>
      <c r="B34" s="2">
        <f t="shared" si="16"/>
        <v>134421.45621230715</v>
      </c>
      <c r="C34" s="2"/>
      <c r="D34" s="2"/>
      <c r="E34" s="2"/>
      <c r="F34" s="2"/>
      <c r="G34" s="2"/>
      <c r="H34" s="2">
        <f t="shared" si="17"/>
        <v>76201.988217995662</v>
      </c>
      <c r="I34" s="2">
        <f t="shared" ref="I34:I35" si="28">SUM(B34:H34)</f>
        <v>210623.44443030283</v>
      </c>
      <c r="J34" s="2">
        <f t="shared" ref="J34:J35" si="29">I34-I33</f>
        <v>26489.508082932676</v>
      </c>
      <c r="K34" s="6">
        <f t="shared" ref="K34:K35" si="30">(J34/I33)</f>
        <v>0.14386000000000004</v>
      </c>
      <c r="L34" s="7">
        <f t="shared" ref="L34:L35" si="31">K34+1</f>
        <v>1.1438600000000001</v>
      </c>
      <c r="O34">
        <f t="shared" ref="O34:O35" si="32">A34</f>
        <v>2017</v>
      </c>
      <c r="P34" s="6">
        <f t="shared" ref="P34:P35" si="33">B34/$I34</f>
        <v>0.63820747294249291</v>
      </c>
      <c r="Q34" s="6"/>
      <c r="R34" s="6"/>
      <c r="S34" s="6"/>
      <c r="T34" s="6"/>
      <c r="U34" s="6"/>
      <c r="V34" s="6">
        <f t="shared" ref="V34:V35" si="34">H34/$I34</f>
        <v>0.36179252705750703</v>
      </c>
      <c r="W34" s="20">
        <f t="shared" ref="W34:W35" si="35">SUM(P34:V34)</f>
        <v>1</v>
      </c>
      <c r="X34" s="7">
        <f t="shared" si="19"/>
        <v>0.63820747294249291</v>
      </c>
      <c r="Y34" s="7">
        <f t="shared" si="20"/>
        <v>0</v>
      </c>
      <c r="AA34">
        <f t="shared" ref="AA34:AA35" si="36">O34</f>
        <v>2017</v>
      </c>
      <c r="AB34" s="1" t="b">
        <f t="shared" ref="AB34:AB35" si="37">AND((B34/$I34)&gt;0.55,(B34/$I34)&lt;0.65)</f>
        <v>1</v>
      </c>
      <c r="AD34" s="1"/>
      <c r="AE34" s="1"/>
      <c r="AG34" s="1"/>
      <c r="AH34" s="1" t="b">
        <f t="shared" ref="AH34:AH35" si="38">AND((H34/$I34)&gt;0.35,(H34/$I34)&lt;0.45)</f>
        <v>1</v>
      </c>
      <c r="AI34" s="1" t="b">
        <f t="shared" ref="AI34:AI35" si="39">AND((I34/$I34)&gt;0.999,(I34/$I34)&lt;1.01)</f>
        <v>1</v>
      </c>
      <c r="AK34">
        <f t="shared" ref="AK34:AK35" si="40">A34</f>
        <v>2017</v>
      </c>
      <c r="AL34" s="24">
        <f t="shared" si="23"/>
        <v>126374.06665818169</v>
      </c>
      <c r="AM34" s="58"/>
      <c r="AN34" s="58"/>
      <c r="AO34" s="58"/>
      <c r="AP34" s="58"/>
      <c r="AQ34" s="58"/>
      <c r="AR34" s="24">
        <f t="shared" si="24"/>
        <v>84249.377772121137</v>
      </c>
      <c r="AS34" s="2">
        <f t="shared" ref="AS34:AS35" si="41">I34</f>
        <v>210623.44443030283</v>
      </c>
      <c r="AT34" s="2">
        <f t="shared" ref="AT34:AT35" si="42">(SUM(AL34:AR34))-AS34</f>
        <v>0</v>
      </c>
    </row>
    <row r="35" spans="1:46" x14ac:dyDescent="0.2">
      <c r="A35">
        <f t="shared" si="4"/>
        <v>2018</v>
      </c>
      <c r="B35" s="2">
        <f t="shared" si="16"/>
        <v>120687.23365856351</v>
      </c>
      <c r="C35" s="2"/>
      <c r="D35" s="2"/>
      <c r="E35" s="2"/>
      <c r="F35" s="2"/>
      <c r="G35" s="2"/>
      <c r="H35" s="2">
        <f t="shared" si="17"/>
        <v>84165.128394349013</v>
      </c>
      <c r="I35" s="2">
        <f t="shared" si="28"/>
        <v>204852.36205291253</v>
      </c>
      <c r="J35" s="2">
        <f t="shared" si="29"/>
        <v>-5771.0823773902957</v>
      </c>
      <c r="K35" s="6">
        <f t="shared" si="30"/>
        <v>-2.739999999999999E-2</v>
      </c>
      <c r="L35" s="7">
        <f t="shared" si="31"/>
        <v>0.97260000000000002</v>
      </c>
      <c r="O35">
        <f t="shared" si="32"/>
        <v>2018</v>
      </c>
      <c r="P35" s="6">
        <f t="shared" si="33"/>
        <v>0.58914250462677353</v>
      </c>
      <c r="Q35" s="6"/>
      <c r="R35" s="6"/>
      <c r="S35" s="6"/>
      <c r="T35" s="6"/>
      <c r="U35" s="6"/>
      <c r="V35" s="6">
        <f t="shared" si="34"/>
        <v>0.41085749537322641</v>
      </c>
      <c r="W35" s="20">
        <f t="shared" si="35"/>
        <v>1</v>
      </c>
      <c r="X35" s="7">
        <f t="shared" si="19"/>
        <v>0.58914250462677353</v>
      </c>
      <c r="Y35" s="7">
        <f t="shared" si="20"/>
        <v>0</v>
      </c>
      <c r="AA35">
        <f t="shared" si="36"/>
        <v>2018</v>
      </c>
      <c r="AB35" s="1" t="b">
        <f t="shared" si="37"/>
        <v>1</v>
      </c>
      <c r="AD35" s="1"/>
      <c r="AE35" s="1"/>
      <c r="AG35" s="1"/>
      <c r="AH35" s="1" t="b">
        <f t="shared" si="38"/>
        <v>1</v>
      </c>
      <c r="AI35" s="1" t="b">
        <f t="shared" si="39"/>
        <v>1</v>
      </c>
      <c r="AK35">
        <f t="shared" si="40"/>
        <v>2018</v>
      </c>
      <c r="AL35" s="24">
        <f t="shared" si="23"/>
        <v>122911.41723174752</v>
      </c>
      <c r="AM35" s="58"/>
      <c r="AN35" s="58"/>
      <c r="AO35" s="58"/>
      <c r="AP35" s="58"/>
      <c r="AQ35" s="58"/>
      <c r="AR35" s="24">
        <f t="shared" si="24"/>
        <v>81940.944821165016</v>
      </c>
      <c r="AS35" s="2">
        <f t="shared" si="41"/>
        <v>204852.36205291253</v>
      </c>
      <c r="AT35" s="2">
        <f t="shared" si="42"/>
        <v>0</v>
      </c>
    </row>
    <row r="36" spans="1:46" x14ac:dyDescent="0.2">
      <c r="A36">
        <f t="shared" si="4"/>
        <v>2019</v>
      </c>
      <c r="B36" s="2">
        <f t="shared" si="16"/>
        <v>161574.43263616602</v>
      </c>
      <c r="C36" s="2"/>
      <c r="D36" s="2"/>
      <c r="E36" s="2"/>
      <c r="F36" s="2"/>
      <c r="G36" s="2"/>
      <c r="H36" s="2">
        <f t="shared" si="17"/>
        <v>89081.278752881335</v>
      </c>
      <c r="I36" s="2">
        <f t="shared" ref="I36:I37" si="43">SUM(B36:H36)</f>
        <v>250655.71138904736</v>
      </c>
      <c r="J36" s="2">
        <f t="shared" ref="J36:J37" si="44">I36-I35</f>
        <v>45803.349336134823</v>
      </c>
      <c r="K36" s="6">
        <f t="shared" ref="K36:K37" si="45">(J36/I35)</f>
        <v>0.22359200000000001</v>
      </c>
      <c r="L36" s="7">
        <f t="shared" ref="L36:L37" si="46">K36+1</f>
        <v>1.223592</v>
      </c>
      <c r="O36">
        <f t="shared" ref="O36:O37" si="47">A36</f>
        <v>2019</v>
      </c>
      <c r="P36" s="6">
        <f t="shared" ref="P36:P37" si="48">B36/$I36</f>
        <v>0.64460702587136887</v>
      </c>
      <c r="Q36" s="6"/>
      <c r="R36" s="6"/>
      <c r="S36" s="6"/>
      <c r="T36" s="6"/>
      <c r="U36" s="6"/>
      <c r="V36" s="6">
        <f t="shared" ref="V36:V37" si="49">H36/$I36</f>
        <v>0.35539297412863113</v>
      </c>
      <c r="W36" s="20">
        <f t="shared" ref="W36:W37" si="50">SUM(P36:V36)</f>
        <v>1</v>
      </c>
      <c r="X36" s="7">
        <f t="shared" ref="X36:X37" si="51">SUM(P36:U36)</f>
        <v>0.64460702587136887</v>
      </c>
      <c r="Y36" s="7">
        <f t="shared" ref="Y36:Y37" si="52">W36-(X36+V36)</f>
        <v>0</v>
      </c>
      <c r="AA36">
        <f t="shared" ref="AA36:AA37" si="53">O36</f>
        <v>2019</v>
      </c>
      <c r="AB36" s="1" t="b">
        <f t="shared" ref="AB36:AB37" si="54">AND((B36/$I36)&gt;0.55,(B36/$I36)&lt;0.65)</f>
        <v>1</v>
      </c>
      <c r="AD36" s="1"/>
      <c r="AE36" s="1"/>
      <c r="AG36" s="1"/>
      <c r="AH36" s="1" t="b">
        <f t="shared" ref="AH36:AH37" si="55">AND((H36/$I36)&gt;0.35,(H36/$I36)&lt;0.45)</f>
        <v>1</v>
      </c>
      <c r="AI36" s="1" t="b">
        <f t="shared" ref="AI36:AI37" si="56">AND((I36/$I36)&gt;0.999,(I36/$I36)&lt;1.01)</f>
        <v>1</v>
      </c>
      <c r="AK36">
        <f t="shared" ref="AK36:AK37" si="57">A36</f>
        <v>2019</v>
      </c>
      <c r="AL36" s="24">
        <f t="shared" si="23"/>
        <v>150393.42683342841</v>
      </c>
      <c r="AM36" s="58"/>
      <c r="AN36" s="58"/>
      <c r="AO36" s="58"/>
      <c r="AP36" s="58"/>
      <c r="AQ36" s="58"/>
      <c r="AR36" s="24">
        <f t="shared" si="24"/>
        <v>100262.28455561894</v>
      </c>
      <c r="AS36" s="2">
        <f t="shared" ref="AS36:AS37" si="58">I36</f>
        <v>250655.71138904736</v>
      </c>
      <c r="AT36" s="2">
        <f t="shared" ref="AT36:AT37" si="59">(SUM(AL36:AR36))-AS36</f>
        <v>0</v>
      </c>
    </row>
    <row r="37" spans="1:46" x14ac:dyDescent="0.2">
      <c r="A37">
        <f t="shared" si="4"/>
        <v>2020</v>
      </c>
      <c r="B37" s="2">
        <f t="shared" si="16"/>
        <v>178020.6993427292</v>
      </c>
      <c r="C37" s="2"/>
      <c r="D37" s="2"/>
      <c r="E37" s="2"/>
      <c r="F37" s="2"/>
      <c r="G37" s="2"/>
      <c r="H37" s="2">
        <f t="shared" si="17"/>
        <v>108002.53292331271</v>
      </c>
      <c r="I37" s="2">
        <f t="shared" si="43"/>
        <v>286023.23226604192</v>
      </c>
      <c r="J37" s="2">
        <f t="shared" si="44"/>
        <v>35367.52087699456</v>
      </c>
      <c r="K37" s="6">
        <f t="shared" si="45"/>
        <v>0.14109999999999992</v>
      </c>
      <c r="L37" s="7">
        <f t="shared" si="46"/>
        <v>1.1411</v>
      </c>
      <c r="O37">
        <f t="shared" si="47"/>
        <v>2020</v>
      </c>
      <c r="P37" s="6">
        <f t="shared" si="48"/>
        <v>0.62239943913767415</v>
      </c>
      <c r="Q37" s="6"/>
      <c r="R37" s="6"/>
      <c r="S37" s="6"/>
      <c r="T37" s="6"/>
      <c r="U37" s="6"/>
      <c r="V37" s="6">
        <f t="shared" si="49"/>
        <v>0.3776005608623258</v>
      </c>
      <c r="W37" s="20">
        <f t="shared" si="50"/>
        <v>1</v>
      </c>
      <c r="X37" s="7">
        <f t="shared" si="51"/>
        <v>0.62239943913767415</v>
      </c>
      <c r="Y37" s="7">
        <f t="shared" si="52"/>
        <v>0</v>
      </c>
      <c r="AA37">
        <f t="shared" si="53"/>
        <v>2020</v>
      </c>
      <c r="AB37" s="1" t="b">
        <f t="shared" si="54"/>
        <v>1</v>
      </c>
      <c r="AD37" s="1"/>
      <c r="AE37" s="1"/>
      <c r="AG37" s="1"/>
      <c r="AH37" s="1" t="b">
        <f t="shared" si="55"/>
        <v>1</v>
      </c>
      <c r="AI37" s="1" t="b">
        <f t="shared" si="56"/>
        <v>1</v>
      </c>
      <c r="AK37">
        <f t="shared" si="57"/>
        <v>2020</v>
      </c>
      <c r="AL37" s="24">
        <f t="shared" si="23"/>
        <v>171613.93935962513</v>
      </c>
      <c r="AM37" s="58"/>
      <c r="AN37" s="58"/>
      <c r="AO37" s="58"/>
      <c r="AP37" s="58"/>
      <c r="AQ37" s="58"/>
      <c r="AR37" s="24">
        <f t="shared" si="24"/>
        <v>114409.29290641677</v>
      </c>
      <c r="AS37" s="2">
        <f t="shared" si="58"/>
        <v>286023.23226604192</v>
      </c>
      <c r="AT37" s="2">
        <f t="shared" si="59"/>
        <v>0</v>
      </c>
    </row>
    <row r="38" spans="1:46" x14ac:dyDescent="0.2">
      <c r="A38" s="9" t="s">
        <v>44</v>
      </c>
      <c r="B38" s="10">
        <f>AL37</f>
        <v>171613.93935962513</v>
      </c>
      <c r="C38" s="10"/>
      <c r="D38" s="10"/>
      <c r="E38" s="10"/>
      <c r="F38" s="10"/>
      <c r="G38" s="10"/>
      <c r="H38" s="10">
        <f>AR37</f>
        <v>114409.29290641677</v>
      </c>
      <c r="I38" s="10">
        <f>SUM(B38:H38)</f>
        <v>286023.23226604192</v>
      </c>
      <c r="J38" s="10"/>
      <c r="K38" s="10"/>
      <c r="O38" s="68" t="s">
        <v>169</v>
      </c>
      <c r="P38" s="69">
        <f>P37</f>
        <v>0.62239943913767415</v>
      </c>
      <c r="Q38" s="68"/>
      <c r="R38" s="69"/>
      <c r="S38" s="68"/>
      <c r="T38" s="68"/>
      <c r="U38" s="69"/>
      <c r="V38" s="69">
        <f>V37</f>
        <v>0.3776005608623258</v>
      </c>
      <c r="W38" s="69">
        <f>W37</f>
        <v>1</v>
      </c>
      <c r="X38" s="69">
        <f>X37</f>
        <v>0.62239943913767415</v>
      </c>
      <c r="Y38" s="69"/>
    </row>
    <row r="39" spans="1:46" x14ac:dyDescent="0.2">
      <c r="A39" s="11" t="s">
        <v>45</v>
      </c>
      <c r="I39" s="6">
        <f>(I38-I23)/I23</f>
        <v>1.8602323226604192</v>
      </c>
      <c r="K39" s="6"/>
      <c r="R39" s="7"/>
    </row>
    <row r="40" spans="1:46" x14ac:dyDescent="0.2">
      <c r="A40" s="1" t="s">
        <v>46</v>
      </c>
      <c r="I40" s="25">
        <f>STDEV(L24:L37)</f>
        <v>0.10754239360435423</v>
      </c>
      <c r="K40" s="26"/>
      <c r="S40" s="70"/>
      <c r="T40" s="70"/>
      <c r="U40" s="71" t="s">
        <v>170</v>
      </c>
      <c r="V40" s="70" t="b">
        <f>IF((V37=V38),TRUE,FALSE)</f>
        <v>1</v>
      </c>
      <c r="W40" s="70"/>
      <c r="X40" s="72" t="b">
        <f>IF(((SUM(P37:U37))=X38),TRUE,FALSE)</f>
        <v>1</v>
      </c>
      <c r="Y40" s="7"/>
    </row>
    <row r="41" spans="1:46" x14ac:dyDescent="0.2">
      <c r="A41" s="1" t="s">
        <v>47</v>
      </c>
      <c r="I41" s="13">
        <f>((1+I39)^(1/I46))-1</f>
        <v>7.7953665353902357E-2</v>
      </c>
      <c r="K41" s="26"/>
    </row>
    <row r="42" spans="1:46" x14ac:dyDescent="0.2">
      <c r="A42" s="1" t="s">
        <v>48</v>
      </c>
      <c r="I42" s="27">
        <f>J25</f>
        <v>-21403.923840000003</v>
      </c>
    </row>
    <row r="43" spans="1:46" x14ac:dyDescent="0.2">
      <c r="A43" s="1" t="s">
        <v>49</v>
      </c>
      <c r="I43" s="28">
        <f>K25</f>
        <v>-0.20192000000000002</v>
      </c>
    </row>
    <row r="44" spans="1:46" x14ac:dyDescent="0.2">
      <c r="A44" s="3" t="s">
        <v>50</v>
      </c>
      <c r="I44" s="29">
        <f>I38-I37</f>
        <v>0</v>
      </c>
    </row>
    <row r="45" spans="1:46" x14ac:dyDescent="0.2">
      <c r="A45" s="3" t="s">
        <v>134</v>
      </c>
      <c r="I45" s="29">
        <f>((SUM(J24:J37))-(I38-I23))</f>
        <v>0</v>
      </c>
    </row>
    <row r="46" spans="1:46" x14ac:dyDescent="0.2">
      <c r="A46" s="3" t="s">
        <v>139</v>
      </c>
      <c r="I46" s="3">
        <f>COUNTA(I24:I37)</f>
        <v>14</v>
      </c>
    </row>
    <row r="47" spans="1:46" x14ac:dyDescent="0.2">
      <c r="A47" s="80" t="s">
        <v>91</v>
      </c>
      <c r="B47" s="2"/>
      <c r="C47" s="2"/>
      <c r="D47" s="2"/>
      <c r="E47" s="2"/>
      <c r="G47" s="2"/>
      <c r="H47" s="2"/>
      <c r="I47" s="81">
        <f>X38</f>
        <v>0.62239943913767415</v>
      </c>
    </row>
    <row r="48" spans="1:46" x14ac:dyDescent="0.2">
      <c r="A48" s="80" t="s">
        <v>174</v>
      </c>
      <c r="B48" s="2"/>
      <c r="D48" s="2"/>
      <c r="E48" s="2"/>
      <c r="G48" s="2"/>
      <c r="H48" s="2"/>
      <c r="I48" s="81">
        <f>V38</f>
        <v>0.3776005608623258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CBE84-0FFA-4086-A865-ECE7EAA0E478}">
  <dimension ref="A1:AT48"/>
  <sheetViews>
    <sheetView topLeftCell="A15" zoomScaleNormal="100" workbookViewId="0">
      <selection activeCell="A36" sqref="A36:XFD37"/>
    </sheetView>
  </sheetViews>
  <sheetFormatPr baseColWidth="10" defaultColWidth="8.83203125" defaultRowHeight="15" x14ac:dyDescent="0.2"/>
  <cols>
    <col min="1" max="1" width="25.5" customWidth="1"/>
    <col min="2" max="2" width="10.33203125" customWidth="1"/>
    <col min="9" max="9" width="10.6640625" customWidth="1"/>
    <col min="10" max="10" width="10" bestFit="1" customWidth="1"/>
    <col min="38" max="39" width="10.83203125" bestFit="1" customWidth="1"/>
    <col min="42" max="42" width="10.83203125" bestFit="1" customWidth="1"/>
    <col min="44" max="44" width="10.83203125" bestFit="1" customWidth="1"/>
    <col min="45" max="45" width="11.5" customWidth="1"/>
  </cols>
  <sheetData>
    <row r="1" spans="1:8" x14ac:dyDescent="0.2">
      <c r="A1" s="18" t="s">
        <v>17</v>
      </c>
    </row>
    <row r="2" spans="1:8" x14ac:dyDescent="0.2">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8" x14ac:dyDescent="0.2">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8" x14ac:dyDescent="0.2">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8" x14ac:dyDescent="0.2">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8" x14ac:dyDescent="0.2">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8" x14ac:dyDescent="0.2">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8" x14ac:dyDescent="0.2">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8" x14ac:dyDescent="0.2">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8" x14ac:dyDescent="0.2">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row>
    <row r="16" spans="1:8" x14ac:dyDescent="0.2">
      <c r="A16" s="16">
        <f>'Non-Rebalanced Strategy'!A16</f>
        <v>2019</v>
      </c>
      <c r="B16" s="16">
        <f>'Non-Rebalanced Strategy'!B16</f>
        <v>31.456</v>
      </c>
      <c r="C16" s="16">
        <f>'Non-Rebalanced Strategy'!C16</f>
        <v>0</v>
      </c>
      <c r="D16" s="16">
        <f>'Non-Rebalanced Strategy'!D16</f>
        <v>31.031600000000001</v>
      </c>
      <c r="E16" s="16">
        <f>'Non-Rebalanced Strategy'!E16</f>
        <v>27.3674</v>
      </c>
      <c r="F16" s="16">
        <f>'Non-Rebalanced Strategy'!F16</f>
        <v>0</v>
      </c>
      <c r="G16" s="16">
        <f>'Non-Rebalanced Strategy'!G16</f>
        <v>21.507999999999999</v>
      </c>
      <c r="H16" s="16">
        <f>'Non-Rebalanced Strategy'!H16</f>
        <v>8.7140000000000004</v>
      </c>
    </row>
    <row r="17" spans="1:46" x14ac:dyDescent="0.2">
      <c r="A17" s="16">
        <f>'Non-Rebalanced Strategy'!A17</f>
        <v>2020</v>
      </c>
      <c r="B17" s="16">
        <f>'Non-Rebalanced Strategy'!B17</f>
        <v>18.37</v>
      </c>
      <c r="C17" s="16">
        <f>'Non-Rebalanced Strategy'!C17</f>
        <v>0</v>
      </c>
      <c r="D17" s="16">
        <f>'Non-Rebalanced Strategy'!D17</f>
        <v>18.239999999999998</v>
      </c>
      <c r="E17" s="16">
        <f>'Non-Rebalanced Strategy'!E17</f>
        <v>19.11</v>
      </c>
      <c r="F17" s="16">
        <f>'Non-Rebalanced Strategy'!F17</f>
        <v>0</v>
      </c>
      <c r="G17" s="16">
        <f>'Non-Rebalanced Strategy'!G17</f>
        <v>11.28</v>
      </c>
      <c r="H17" s="16">
        <f>'Non-Rebalanced Strategy'!H17</f>
        <v>7.72</v>
      </c>
    </row>
    <row r="18" spans="1:46" x14ac:dyDescent="0.2">
      <c r="A18" s="1"/>
    </row>
    <row r="19" spans="1:46" x14ac:dyDescent="0.2">
      <c r="A19" s="1"/>
    </row>
    <row r="20" spans="1:46" x14ac:dyDescent="0.2">
      <c r="A20" s="18" t="s">
        <v>103</v>
      </c>
      <c r="O20" s="18" t="s">
        <v>109</v>
      </c>
      <c r="AA20" s="18" t="s">
        <v>110</v>
      </c>
      <c r="AK20" s="18" t="s">
        <v>111</v>
      </c>
    </row>
    <row r="21" spans="1:46" x14ac:dyDescent="0.2">
      <c r="B21" s="4" t="str">
        <f t="shared" ref="B21:H22" si="0">B2</f>
        <v>LC Stocks</v>
      </c>
      <c r="C21" s="4" t="str">
        <f t="shared" si="0"/>
        <v>Ext Mkt</v>
      </c>
      <c r="D21" s="4" t="str">
        <f t="shared" si="0"/>
        <v>Mcap Stk</v>
      </c>
      <c r="E21" s="4" t="str">
        <f t="shared" si="0"/>
        <v>Small Cap</v>
      </c>
      <c r="F21" s="4" t="str">
        <f t="shared" si="0"/>
        <v>Intl Val</v>
      </c>
      <c r="G21" s="4" t="str">
        <f t="shared" si="0"/>
        <v>Tot Int Stk</v>
      </c>
      <c r="H21" s="4" t="str">
        <f t="shared" si="0"/>
        <v>Bonds</v>
      </c>
      <c r="I21" s="5"/>
      <c r="J21" s="5" t="s">
        <v>42</v>
      </c>
      <c r="K21" s="5" t="s">
        <v>39</v>
      </c>
      <c r="L21" s="5" t="s">
        <v>40</v>
      </c>
      <c r="P21" s="4" t="str">
        <f>B21</f>
        <v>LC Stocks</v>
      </c>
      <c r="Q21" s="4" t="str">
        <f t="shared" ref="Q21:V22" si="1">C21</f>
        <v>Ext Mkt</v>
      </c>
      <c r="R21" s="4" t="str">
        <f t="shared" si="1"/>
        <v>Mcap Stk</v>
      </c>
      <c r="S21" s="4" t="str">
        <f t="shared" si="1"/>
        <v>Small Cap</v>
      </c>
      <c r="T21" s="4" t="str">
        <f t="shared" si="1"/>
        <v>Intl Val</v>
      </c>
      <c r="U21" s="4" t="str">
        <f t="shared" si="1"/>
        <v>Tot Int Stk</v>
      </c>
      <c r="V21" s="4" t="str">
        <f t="shared" si="1"/>
        <v>Bonds</v>
      </c>
      <c r="W21" s="5"/>
      <c r="X21" s="5" t="s">
        <v>171</v>
      </c>
      <c r="Y21" s="3" t="s">
        <v>172</v>
      </c>
      <c r="AB21" s="4" t="str">
        <f t="shared" ref="AB21:AH23" si="2">P21</f>
        <v>LC Stocks</v>
      </c>
      <c r="AC21" s="4" t="str">
        <f t="shared" si="2"/>
        <v>Ext Mkt</v>
      </c>
      <c r="AD21" s="4" t="str">
        <f t="shared" si="2"/>
        <v>Mcap Stk</v>
      </c>
      <c r="AE21" s="4" t="str">
        <f t="shared" si="2"/>
        <v>Small Cap</v>
      </c>
      <c r="AF21" s="4" t="str">
        <f t="shared" si="2"/>
        <v>Intl Val</v>
      </c>
      <c r="AG21" s="4" t="str">
        <f t="shared" si="2"/>
        <v>Tot Int Stk</v>
      </c>
      <c r="AH21" s="4" t="str">
        <f t="shared" si="2"/>
        <v>Bonds</v>
      </c>
      <c r="AI21" s="5"/>
      <c r="AL21" s="4" t="str">
        <f>AB21</f>
        <v>LC Stocks</v>
      </c>
      <c r="AM21" s="4" t="str">
        <f t="shared" ref="AM21:AS23" si="3">AC21</f>
        <v>Ext Mkt</v>
      </c>
      <c r="AN21" s="4" t="str">
        <f t="shared" si="3"/>
        <v>Mcap Stk</v>
      </c>
      <c r="AO21" s="4" t="str">
        <f t="shared" si="3"/>
        <v>Small Cap</v>
      </c>
      <c r="AP21" s="4" t="str">
        <f t="shared" si="3"/>
        <v>Intl Val</v>
      </c>
      <c r="AQ21" s="4" t="str">
        <f t="shared" si="3"/>
        <v>Tot Int Stk</v>
      </c>
      <c r="AR21" s="4" t="str">
        <f t="shared" si="3"/>
        <v>Bonds</v>
      </c>
      <c r="AS21" s="4"/>
    </row>
    <row r="22" spans="1:46" x14ac:dyDescent="0.2">
      <c r="A22" t="s">
        <v>38</v>
      </c>
      <c r="B22" s="4" t="str">
        <f t="shared" si="0"/>
        <v>VFINX</v>
      </c>
      <c r="C22" s="4" t="str">
        <f t="shared" si="0"/>
        <v>VEXMX</v>
      </c>
      <c r="D22" s="4" t="str">
        <f t="shared" si="0"/>
        <v>VIMSX</v>
      </c>
      <c r="E22" s="4" t="str">
        <f t="shared" si="0"/>
        <v>NAESX</v>
      </c>
      <c r="F22" s="4" t="str">
        <f t="shared" si="0"/>
        <v>VTRIX</v>
      </c>
      <c r="G22" s="4" t="str">
        <f t="shared" si="0"/>
        <v>VGTSX</v>
      </c>
      <c r="H22" s="4" t="str">
        <f t="shared" si="0"/>
        <v>VBMFX</v>
      </c>
      <c r="I22" s="5" t="s">
        <v>36</v>
      </c>
      <c r="J22" s="5" t="s">
        <v>43</v>
      </c>
      <c r="K22" s="5" t="s">
        <v>41</v>
      </c>
      <c r="L22" s="5" t="s">
        <v>41</v>
      </c>
      <c r="O22" t="s">
        <v>38</v>
      </c>
      <c r="P22" s="4" t="str">
        <f>B22</f>
        <v>VFINX</v>
      </c>
      <c r="Q22" s="4" t="str">
        <f t="shared" si="1"/>
        <v>VEXMX</v>
      </c>
      <c r="R22" s="4" t="str">
        <f t="shared" si="1"/>
        <v>VIMSX</v>
      </c>
      <c r="S22" s="4" t="str">
        <f t="shared" si="1"/>
        <v>NAESX</v>
      </c>
      <c r="T22" s="4" t="str">
        <f t="shared" si="1"/>
        <v>VTRIX</v>
      </c>
      <c r="U22" s="4" t="str">
        <f t="shared" si="1"/>
        <v>VGTSX</v>
      </c>
      <c r="V22" s="4" t="str">
        <f t="shared" si="1"/>
        <v>VBMFX</v>
      </c>
      <c r="W22" s="5" t="s">
        <v>36</v>
      </c>
      <c r="X22" s="5" t="s">
        <v>172</v>
      </c>
      <c r="Y22" s="3" t="s">
        <v>53</v>
      </c>
      <c r="AA22" t="str">
        <f>O22</f>
        <v>Fund</v>
      </c>
      <c r="AB22" s="4" t="str">
        <f t="shared" si="2"/>
        <v>VFINX</v>
      </c>
      <c r="AC22" s="4" t="str">
        <f t="shared" si="2"/>
        <v>VEXMX</v>
      </c>
      <c r="AD22" s="4" t="str">
        <f t="shared" si="2"/>
        <v>VIMSX</v>
      </c>
      <c r="AE22" s="4" t="str">
        <f t="shared" si="2"/>
        <v>NAESX</v>
      </c>
      <c r="AF22" s="4" t="str">
        <f t="shared" si="2"/>
        <v>VTRIX</v>
      </c>
      <c r="AG22" s="4" t="str">
        <f t="shared" si="2"/>
        <v>VGTSX</v>
      </c>
      <c r="AH22" s="4" t="str">
        <f t="shared" si="2"/>
        <v>VBMFX</v>
      </c>
      <c r="AI22" s="4" t="str">
        <f>W22</f>
        <v>Total</v>
      </c>
      <c r="AK22" t="s">
        <v>38</v>
      </c>
      <c r="AL22" s="4" t="str">
        <f>AB22</f>
        <v>VFINX</v>
      </c>
      <c r="AM22" s="4" t="str">
        <f t="shared" si="3"/>
        <v>VEXMX</v>
      </c>
      <c r="AN22" s="4" t="str">
        <f t="shared" si="3"/>
        <v>VIMSX</v>
      </c>
      <c r="AO22" s="4" t="str">
        <f t="shared" si="3"/>
        <v>NAESX</v>
      </c>
      <c r="AP22" s="4" t="str">
        <f t="shared" si="3"/>
        <v>VTRIX</v>
      </c>
      <c r="AQ22" s="4" t="str">
        <f t="shared" si="3"/>
        <v>VGTSX</v>
      </c>
      <c r="AR22" s="4" t="str">
        <f t="shared" si="3"/>
        <v>VBMFX</v>
      </c>
      <c r="AS22" s="4" t="str">
        <f t="shared" si="3"/>
        <v>Total</v>
      </c>
    </row>
    <row r="23" spans="1:46" x14ac:dyDescent="0.2">
      <c r="A23" t="s">
        <v>37</v>
      </c>
      <c r="B23" s="2">
        <v>100000</v>
      </c>
      <c r="C23" s="2"/>
      <c r="D23" s="2"/>
      <c r="E23" s="2"/>
      <c r="F23" s="2"/>
      <c r="G23" s="2"/>
      <c r="H23" s="2"/>
      <c r="I23" s="2">
        <f>SUM(B23:H23)</f>
        <v>100000</v>
      </c>
      <c r="O23" s="19" t="s">
        <v>52</v>
      </c>
      <c r="P23" s="20">
        <f>B23/$I23</f>
        <v>1</v>
      </c>
      <c r="Q23" s="20"/>
      <c r="R23" s="53">
        <v>0</v>
      </c>
      <c r="S23" s="53">
        <v>0</v>
      </c>
      <c r="T23" s="20"/>
      <c r="U23" s="53">
        <v>0</v>
      </c>
      <c r="V23" s="20">
        <f>H23/$I23</f>
        <v>0</v>
      </c>
      <c r="W23" s="20">
        <f>I23/$I23</f>
        <v>1</v>
      </c>
      <c r="X23" s="22"/>
      <c r="AA23" s="19" t="str">
        <f>O23</f>
        <v>Target Allocation</v>
      </c>
      <c r="AB23" s="22">
        <f t="shared" si="2"/>
        <v>1</v>
      </c>
      <c r="AC23" s="22">
        <f t="shared" si="2"/>
        <v>0</v>
      </c>
      <c r="AD23" s="23">
        <f t="shared" si="2"/>
        <v>0</v>
      </c>
      <c r="AE23" s="23">
        <f t="shared" si="2"/>
        <v>0</v>
      </c>
      <c r="AF23" s="22">
        <f t="shared" si="2"/>
        <v>0</v>
      </c>
      <c r="AG23" s="23">
        <f t="shared" si="2"/>
        <v>0</v>
      </c>
      <c r="AH23" s="22">
        <f t="shared" si="2"/>
        <v>0</v>
      </c>
      <c r="AI23" s="22">
        <f>W23</f>
        <v>1</v>
      </c>
      <c r="AK23" s="19" t="str">
        <f>AA23</f>
        <v>Target Allocation</v>
      </c>
      <c r="AL23" s="22">
        <f>AB23</f>
        <v>1</v>
      </c>
      <c r="AM23" s="22"/>
      <c r="AN23" s="23">
        <f t="shared" si="3"/>
        <v>0</v>
      </c>
      <c r="AO23" s="23">
        <f t="shared" si="3"/>
        <v>0</v>
      </c>
      <c r="AP23" s="22"/>
      <c r="AQ23" s="23">
        <f t="shared" si="3"/>
        <v>0</v>
      </c>
      <c r="AR23" s="22">
        <f t="shared" si="3"/>
        <v>0</v>
      </c>
      <c r="AS23" s="22">
        <f t="shared" si="3"/>
        <v>1</v>
      </c>
      <c r="AT23" s="2"/>
    </row>
    <row r="24" spans="1:46" x14ac:dyDescent="0.2">
      <c r="A24">
        <f t="shared" ref="A24:A35" si="4">A4</f>
        <v>2007</v>
      </c>
      <c r="B24" s="2">
        <f>B$23*(1+(B4/100))</f>
        <v>105390</v>
      </c>
      <c r="C24" s="2"/>
      <c r="D24" s="2"/>
      <c r="E24" s="2"/>
      <c r="F24" s="2"/>
      <c r="G24" s="2"/>
      <c r="H24" s="2"/>
      <c r="I24" s="2">
        <f t="shared" ref="I24:I26" si="5">SUM(B24:H24)</f>
        <v>105390</v>
      </c>
      <c r="J24" s="2">
        <f t="shared" ref="J24:J33" si="6">I24-I23</f>
        <v>5390</v>
      </c>
      <c r="K24" s="6">
        <f t="shared" ref="K24:K33" si="7">(J24/I23)</f>
        <v>5.3900000000000003E-2</v>
      </c>
      <c r="L24" s="7">
        <f t="shared" ref="L24:L33" si="8">K24+1</f>
        <v>1.0539000000000001</v>
      </c>
      <c r="O24">
        <f t="shared" ref="O24:O33" si="9">A24</f>
        <v>2007</v>
      </c>
      <c r="P24" s="6">
        <f t="shared" ref="P24:P33" si="10">B24/$I24</f>
        <v>1</v>
      </c>
      <c r="Q24" s="6"/>
      <c r="R24" s="6"/>
      <c r="S24" s="6"/>
      <c r="T24" s="6"/>
      <c r="U24" s="6"/>
      <c r="V24" s="6"/>
      <c r="W24" s="20">
        <f>SUM(P24:V24)</f>
        <v>1</v>
      </c>
      <c r="X24" s="7">
        <f>SUM(P24:U24)</f>
        <v>1</v>
      </c>
      <c r="Y24" s="7">
        <f>W24-(X24+V24)</f>
        <v>0</v>
      </c>
      <c r="AA24">
        <f t="shared" ref="AA24:AA33" si="11">O24</f>
        <v>2007</v>
      </c>
      <c r="AB24" s="1" t="b">
        <f>AND((B24/$I24)&gt;0.99,(B24/$I24)&lt;1.1)</f>
        <v>1</v>
      </c>
      <c r="AD24" s="1"/>
      <c r="AE24" s="1"/>
      <c r="AG24" s="1"/>
      <c r="AH24" s="1"/>
      <c r="AI24" s="1" t="b">
        <f t="shared" ref="AI24:AI33" si="12">AND((I24/$I24)&gt;0.999,(I24/$I24)&lt;1.01)</f>
        <v>1</v>
      </c>
      <c r="AK24">
        <f t="shared" ref="AK24:AK33" si="13">A24</f>
        <v>2007</v>
      </c>
      <c r="AL24" s="24">
        <f>AL$23*$AS24</f>
        <v>105390</v>
      </c>
      <c r="AM24" s="2"/>
      <c r="AN24" s="58"/>
      <c r="AO24" s="58"/>
      <c r="AP24" s="58"/>
      <c r="AQ24" s="58"/>
      <c r="AR24" s="58"/>
      <c r="AS24" s="2">
        <f t="shared" ref="AS24:AS33" si="14">I24</f>
        <v>105390</v>
      </c>
      <c r="AT24" s="2"/>
    </row>
    <row r="25" spans="1:46" x14ac:dyDescent="0.2">
      <c r="A25">
        <f t="shared" si="4"/>
        <v>2008</v>
      </c>
      <c r="B25" s="2">
        <f t="shared" ref="B25:B35" si="15">AL24*(1+(B5/100))</f>
        <v>66374.621999999988</v>
      </c>
      <c r="C25" s="2"/>
      <c r="D25" s="2"/>
      <c r="E25" s="2"/>
      <c r="F25" s="2"/>
      <c r="G25" s="2"/>
      <c r="H25" s="2"/>
      <c r="I25" s="2">
        <f t="shared" si="5"/>
        <v>66374.621999999988</v>
      </c>
      <c r="J25" s="2">
        <f t="shared" si="6"/>
        <v>-39015.378000000012</v>
      </c>
      <c r="K25" s="6">
        <f t="shared" si="7"/>
        <v>-0.37020000000000008</v>
      </c>
      <c r="L25" s="7">
        <f t="shared" si="8"/>
        <v>0.62979999999999992</v>
      </c>
      <c r="O25">
        <f t="shared" si="9"/>
        <v>2008</v>
      </c>
      <c r="P25" s="6">
        <f t="shared" si="10"/>
        <v>1</v>
      </c>
      <c r="Q25" s="6"/>
      <c r="R25" s="6"/>
      <c r="S25" s="6"/>
      <c r="T25" s="6"/>
      <c r="U25" s="6"/>
      <c r="V25" s="6"/>
      <c r="W25" s="20">
        <f t="shared" ref="W25:W28" si="16">SUM(P25:V25)</f>
        <v>1</v>
      </c>
      <c r="X25" s="7">
        <f t="shared" ref="X25:X35" si="17">SUM(P25:U25)</f>
        <v>1</v>
      </c>
      <c r="Y25" s="7">
        <f t="shared" ref="Y25:Y35" si="18">W25-(X25+V25)</f>
        <v>0</v>
      </c>
      <c r="AA25">
        <f t="shared" si="11"/>
        <v>2008</v>
      </c>
      <c r="AB25" s="1" t="b">
        <f t="shared" ref="AB25:AB33" si="19">AND((B25/$I25)&gt;0.99,(B25/$I25)&lt;1.1)</f>
        <v>1</v>
      </c>
      <c r="AD25" s="1"/>
      <c r="AE25" s="1"/>
      <c r="AG25" s="1"/>
      <c r="AH25" s="1"/>
      <c r="AI25" s="1" t="b">
        <f t="shared" si="12"/>
        <v>1</v>
      </c>
      <c r="AK25">
        <f t="shared" si="13"/>
        <v>2008</v>
      </c>
      <c r="AL25" s="24">
        <f t="shared" ref="AL25:AL37" si="20">AL$23*$AS25</f>
        <v>66374.621999999988</v>
      </c>
      <c r="AM25" s="2"/>
      <c r="AN25" s="58"/>
      <c r="AO25" s="58"/>
      <c r="AP25" s="58"/>
      <c r="AQ25" s="58"/>
      <c r="AR25" s="58"/>
      <c r="AS25" s="2">
        <f t="shared" si="14"/>
        <v>66374.621999999988</v>
      </c>
      <c r="AT25" s="2"/>
    </row>
    <row r="26" spans="1:46" x14ac:dyDescent="0.2">
      <c r="A26">
        <f t="shared" si="4"/>
        <v>2009</v>
      </c>
      <c r="B26" s="2">
        <f t="shared" si="15"/>
        <v>83957.259367799983</v>
      </c>
      <c r="C26" s="2"/>
      <c r="D26" s="2"/>
      <c r="E26" s="2"/>
      <c r="F26" s="2"/>
      <c r="G26" s="2"/>
      <c r="H26" s="2"/>
      <c r="I26" s="2">
        <f t="shared" si="5"/>
        <v>83957.259367799983</v>
      </c>
      <c r="J26" s="2">
        <f t="shared" si="6"/>
        <v>17582.637367799995</v>
      </c>
      <c r="K26" s="6">
        <f t="shared" si="7"/>
        <v>0.26489999999999997</v>
      </c>
      <c r="L26" s="7">
        <f t="shared" si="8"/>
        <v>1.2648999999999999</v>
      </c>
      <c r="O26">
        <f t="shared" si="9"/>
        <v>2009</v>
      </c>
      <c r="P26" s="6">
        <f t="shared" si="10"/>
        <v>1</v>
      </c>
      <c r="Q26" s="6"/>
      <c r="R26" s="6"/>
      <c r="S26" s="6"/>
      <c r="T26" s="6"/>
      <c r="U26" s="6"/>
      <c r="V26" s="57"/>
      <c r="W26" s="20">
        <f t="shared" si="16"/>
        <v>1</v>
      </c>
      <c r="X26" s="7">
        <f t="shared" si="17"/>
        <v>1</v>
      </c>
      <c r="Y26" s="7">
        <f t="shared" si="18"/>
        <v>0</v>
      </c>
      <c r="AA26">
        <f t="shared" si="11"/>
        <v>2009</v>
      </c>
      <c r="AB26" s="1" t="b">
        <f t="shared" si="19"/>
        <v>1</v>
      </c>
      <c r="AD26" s="1"/>
      <c r="AE26" s="1"/>
      <c r="AG26" s="1"/>
      <c r="AH26" s="1"/>
      <c r="AI26" s="1" t="b">
        <f t="shared" si="12"/>
        <v>1</v>
      </c>
      <c r="AK26">
        <f t="shared" si="13"/>
        <v>2009</v>
      </c>
      <c r="AL26" s="24">
        <f t="shared" si="20"/>
        <v>83957.259367799983</v>
      </c>
      <c r="AM26" s="2"/>
      <c r="AN26" s="58"/>
      <c r="AO26" s="58"/>
      <c r="AP26" s="58"/>
      <c r="AQ26" s="58"/>
      <c r="AR26" s="58"/>
      <c r="AS26" s="2">
        <f t="shared" si="14"/>
        <v>83957.259367799983</v>
      </c>
      <c r="AT26" s="2"/>
    </row>
    <row r="27" spans="1:46" x14ac:dyDescent="0.2">
      <c r="A27">
        <f t="shared" si="4"/>
        <v>2010</v>
      </c>
      <c r="B27" s="2">
        <f t="shared" si="15"/>
        <v>96475.286739538962</v>
      </c>
      <c r="C27" s="2"/>
      <c r="D27" s="2"/>
      <c r="E27" s="2"/>
      <c r="F27" s="2"/>
      <c r="G27" s="2"/>
      <c r="H27" s="2"/>
      <c r="I27" s="2">
        <f t="shared" ref="I27:I31" si="21">SUM(B27:H27)</f>
        <v>96475.286739538962</v>
      </c>
      <c r="J27" s="2">
        <f t="shared" si="6"/>
        <v>12518.027371738979</v>
      </c>
      <c r="K27" s="6">
        <f t="shared" si="7"/>
        <v>0.14910000000000001</v>
      </c>
      <c r="L27" s="7">
        <f t="shared" si="8"/>
        <v>1.1491</v>
      </c>
      <c r="O27">
        <f t="shared" si="9"/>
        <v>2010</v>
      </c>
      <c r="P27" s="6">
        <f t="shared" si="10"/>
        <v>1</v>
      </c>
      <c r="Q27" s="6"/>
      <c r="R27" s="6"/>
      <c r="S27" s="6"/>
      <c r="T27" s="6"/>
      <c r="U27" s="6"/>
      <c r="V27" s="6"/>
      <c r="W27" s="20">
        <f t="shared" si="16"/>
        <v>1</v>
      </c>
      <c r="X27" s="7">
        <f t="shared" si="17"/>
        <v>1</v>
      </c>
      <c r="Y27" s="7">
        <f t="shared" si="18"/>
        <v>0</v>
      </c>
      <c r="AA27">
        <f t="shared" si="11"/>
        <v>2010</v>
      </c>
      <c r="AB27" s="1" t="b">
        <f t="shared" si="19"/>
        <v>1</v>
      </c>
      <c r="AD27" s="1"/>
      <c r="AE27" s="1"/>
      <c r="AG27" s="1"/>
      <c r="AH27" s="1"/>
      <c r="AI27" s="1" t="b">
        <f t="shared" si="12"/>
        <v>1</v>
      </c>
      <c r="AK27">
        <f t="shared" si="13"/>
        <v>2010</v>
      </c>
      <c r="AL27" s="24">
        <f t="shared" si="20"/>
        <v>96475.286739538962</v>
      </c>
      <c r="AM27" s="2"/>
      <c r="AN27" s="58"/>
      <c r="AO27" s="58"/>
      <c r="AP27" s="58"/>
      <c r="AQ27" s="58"/>
      <c r="AR27" s="58"/>
      <c r="AS27" s="2">
        <f t="shared" si="14"/>
        <v>96475.286739538962</v>
      </c>
      <c r="AT27" s="2"/>
    </row>
    <row r="28" spans="1:46" x14ac:dyDescent="0.2">
      <c r="A28">
        <f t="shared" si="4"/>
        <v>2011</v>
      </c>
      <c r="B28" s="2">
        <f t="shared" si="15"/>
        <v>98375.849888307886</v>
      </c>
      <c r="C28" s="2"/>
      <c r="D28" s="2"/>
      <c r="E28" s="2"/>
      <c r="F28" s="2"/>
      <c r="G28" s="2"/>
      <c r="H28" s="2"/>
      <c r="I28" s="2">
        <f t="shared" si="21"/>
        <v>98375.849888307886</v>
      </c>
      <c r="J28" s="2">
        <f t="shared" si="6"/>
        <v>1900.5631487689243</v>
      </c>
      <c r="K28" s="6">
        <f t="shared" si="7"/>
        <v>1.9700000000000068E-2</v>
      </c>
      <c r="L28" s="7">
        <f t="shared" si="8"/>
        <v>1.0197000000000001</v>
      </c>
      <c r="O28">
        <f t="shared" si="9"/>
        <v>2011</v>
      </c>
      <c r="P28" s="57">
        <f t="shared" si="10"/>
        <v>1</v>
      </c>
      <c r="Q28" s="6"/>
      <c r="R28" s="6"/>
      <c r="S28" s="6"/>
      <c r="T28" s="7"/>
      <c r="U28" s="6"/>
      <c r="V28" s="6"/>
      <c r="W28" s="20">
        <f t="shared" si="16"/>
        <v>1</v>
      </c>
      <c r="X28" s="7">
        <f t="shared" si="17"/>
        <v>1</v>
      </c>
      <c r="Y28" s="7">
        <f t="shared" si="18"/>
        <v>0</v>
      </c>
      <c r="AA28">
        <f t="shared" si="11"/>
        <v>2011</v>
      </c>
      <c r="AB28" s="1" t="b">
        <f t="shared" si="19"/>
        <v>1</v>
      </c>
      <c r="AD28" s="1"/>
      <c r="AE28" s="1"/>
      <c r="AG28" s="1"/>
      <c r="AH28" s="1"/>
      <c r="AI28" s="1" t="b">
        <f t="shared" si="12"/>
        <v>1</v>
      </c>
      <c r="AK28">
        <f t="shared" si="13"/>
        <v>2011</v>
      </c>
      <c r="AL28" s="24">
        <f t="shared" si="20"/>
        <v>98375.849888307886</v>
      </c>
      <c r="AM28" s="58"/>
      <c r="AN28" s="58"/>
      <c r="AO28" s="58"/>
      <c r="AP28" s="58"/>
      <c r="AQ28" s="58"/>
      <c r="AR28" s="58"/>
      <c r="AS28" s="2">
        <f t="shared" si="14"/>
        <v>98375.849888307886</v>
      </c>
      <c r="AT28" s="2"/>
    </row>
    <row r="29" spans="1:46" x14ac:dyDescent="0.2">
      <c r="A29">
        <f t="shared" si="4"/>
        <v>2012</v>
      </c>
      <c r="B29" s="2">
        <f t="shared" si="15"/>
        <v>113938.90934063819</v>
      </c>
      <c r="C29" s="2"/>
      <c r="D29" s="2"/>
      <c r="E29" s="2"/>
      <c r="F29" s="2"/>
      <c r="G29" s="2"/>
      <c r="H29" s="2"/>
      <c r="I29" s="2">
        <f t="shared" si="21"/>
        <v>113938.90934063819</v>
      </c>
      <c r="J29" s="2">
        <f t="shared" si="6"/>
        <v>15563.059452330301</v>
      </c>
      <c r="K29" s="6">
        <f t="shared" si="7"/>
        <v>0.15819999999999992</v>
      </c>
      <c r="L29" s="7">
        <f t="shared" si="8"/>
        <v>1.1581999999999999</v>
      </c>
      <c r="O29">
        <f t="shared" si="9"/>
        <v>2012</v>
      </c>
      <c r="P29" s="6">
        <f t="shared" si="10"/>
        <v>1</v>
      </c>
      <c r="Q29" s="6"/>
      <c r="R29" s="6"/>
      <c r="S29" s="6"/>
      <c r="T29" s="6"/>
      <c r="U29" s="6"/>
      <c r="V29" s="6"/>
      <c r="W29" s="20">
        <f t="shared" ref="W29:W33" si="22">SUM(P29:V29)</f>
        <v>1</v>
      </c>
      <c r="X29" s="7">
        <f t="shared" si="17"/>
        <v>1</v>
      </c>
      <c r="Y29" s="7">
        <f t="shared" si="18"/>
        <v>0</v>
      </c>
      <c r="AA29">
        <f t="shared" si="11"/>
        <v>2012</v>
      </c>
      <c r="AB29" s="1" t="b">
        <f t="shared" si="19"/>
        <v>1</v>
      </c>
      <c r="AD29" s="1"/>
      <c r="AE29" s="1"/>
      <c r="AG29" s="1"/>
      <c r="AH29" s="1"/>
      <c r="AI29" s="1" t="b">
        <f t="shared" si="12"/>
        <v>1</v>
      </c>
      <c r="AK29">
        <f t="shared" si="13"/>
        <v>2012</v>
      </c>
      <c r="AL29" s="24">
        <f t="shared" si="20"/>
        <v>113938.90934063819</v>
      </c>
      <c r="AM29" s="58"/>
      <c r="AN29" s="58"/>
      <c r="AO29" s="58"/>
      <c r="AP29" s="58"/>
      <c r="AQ29" s="58"/>
      <c r="AR29" s="58"/>
      <c r="AS29" s="2">
        <f t="shared" si="14"/>
        <v>113938.90934063819</v>
      </c>
      <c r="AT29" s="2"/>
    </row>
    <row r="30" spans="1:46" x14ac:dyDescent="0.2">
      <c r="A30">
        <f t="shared" si="4"/>
        <v>2013</v>
      </c>
      <c r="B30" s="2">
        <f t="shared" si="15"/>
        <v>150604.45036645557</v>
      </c>
      <c r="C30" s="2"/>
      <c r="D30" s="2"/>
      <c r="E30" s="2"/>
      <c r="F30" s="2"/>
      <c r="G30" s="2"/>
      <c r="H30" s="2"/>
      <c r="I30" s="2">
        <f t="shared" si="21"/>
        <v>150604.45036645557</v>
      </c>
      <c r="J30" s="2">
        <f t="shared" si="6"/>
        <v>36665.54102581738</v>
      </c>
      <c r="K30" s="6">
        <f t="shared" si="7"/>
        <v>0.32180000000000009</v>
      </c>
      <c r="L30" s="7">
        <f t="shared" si="8"/>
        <v>1.3218000000000001</v>
      </c>
      <c r="O30">
        <f t="shared" si="9"/>
        <v>2013</v>
      </c>
      <c r="P30" s="6">
        <f t="shared" si="10"/>
        <v>1</v>
      </c>
      <c r="Q30" s="6"/>
      <c r="R30" s="6"/>
      <c r="S30" s="6"/>
      <c r="T30" s="6"/>
      <c r="U30" s="6"/>
      <c r="V30" s="6"/>
      <c r="W30" s="20">
        <f t="shared" si="22"/>
        <v>1</v>
      </c>
      <c r="X30" s="7">
        <f t="shared" si="17"/>
        <v>1</v>
      </c>
      <c r="Y30" s="7">
        <f t="shared" si="18"/>
        <v>0</v>
      </c>
      <c r="AA30">
        <f t="shared" si="11"/>
        <v>2013</v>
      </c>
      <c r="AB30" s="1" t="b">
        <f t="shared" si="19"/>
        <v>1</v>
      </c>
      <c r="AD30" s="1"/>
      <c r="AE30" s="1"/>
      <c r="AG30" s="1"/>
      <c r="AH30" s="1"/>
      <c r="AI30" s="1" t="b">
        <f t="shared" si="12"/>
        <v>1</v>
      </c>
      <c r="AK30">
        <f t="shared" si="13"/>
        <v>2013</v>
      </c>
      <c r="AL30" s="24">
        <f t="shared" si="20"/>
        <v>150604.45036645557</v>
      </c>
      <c r="AM30" s="2"/>
      <c r="AN30" s="58"/>
      <c r="AO30" s="58"/>
      <c r="AP30" s="58"/>
      <c r="AQ30" s="58"/>
      <c r="AR30" s="58"/>
      <c r="AS30" s="2">
        <f t="shared" si="14"/>
        <v>150604.45036645557</v>
      </c>
      <c r="AT30" s="2"/>
    </row>
    <row r="31" spans="1:46" x14ac:dyDescent="0.2">
      <c r="A31">
        <f t="shared" si="4"/>
        <v>2014</v>
      </c>
      <c r="B31" s="2">
        <f t="shared" si="15"/>
        <v>170951.11161096371</v>
      </c>
      <c r="C31" s="2"/>
      <c r="D31" s="2"/>
      <c r="E31" s="2"/>
      <c r="F31" s="2"/>
      <c r="G31" s="2"/>
      <c r="H31" s="2"/>
      <c r="I31" s="2">
        <f t="shared" si="21"/>
        <v>170951.11161096371</v>
      </c>
      <c r="J31" s="2">
        <f t="shared" si="6"/>
        <v>20346.661244508141</v>
      </c>
      <c r="K31" s="6">
        <f t="shared" si="7"/>
        <v>0.13509999999999997</v>
      </c>
      <c r="L31" s="7">
        <f t="shared" si="8"/>
        <v>1.1351</v>
      </c>
      <c r="O31">
        <f t="shared" si="9"/>
        <v>2014</v>
      </c>
      <c r="P31" s="6">
        <f t="shared" si="10"/>
        <v>1</v>
      </c>
      <c r="Q31" s="6"/>
      <c r="R31" s="6"/>
      <c r="S31" s="6"/>
      <c r="T31" s="6"/>
      <c r="U31" s="6"/>
      <c r="V31" s="6"/>
      <c r="W31" s="20">
        <f t="shared" si="22"/>
        <v>1</v>
      </c>
      <c r="X31" s="7">
        <f t="shared" si="17"/>
        <v>1</v>
      </c>
      <c r="Y31" s="7">
        <f t="shared" si="18"/>
        <v>0</v>
      </c>
      <c r="AA31">
        <f t="shared" si="11"/>
        <v>2014</v>
      </c>
      <c r="AB31" s="1" t="b">
        <f t="shared" si="19"/>
        <v>1</v>
      </c>
      <c r="AD31" s="1"/>
      <c r="AE31" s="1"/>
      <c r="AG31" s="1"/>
      <c r="AH31" s="1"/>
      <c r="AI31" s="1" t="b">
        <f t="shared" si="12"/>
        <v>1</v>
      </c>
      <c r="AK31">
        <f t="shared" si="13"/>
        <v>2014</v>
      </c>
      <c r="AL31" s="24">
        <f t="shared" si="20"/>
        <v>170951.11161096371</v>
      </c>
      <c r="AM31" s="58"/>
      <c r="AN31" s="58"/>
      <c r="AO31" s="58"/>
      <c r="AP31" s="58"/>
      <c r="AQ31" s="58"/>
      <c r="AR31" s="58"/>
      <c r="AS31" s="2">
        <f t="shared" si="14"/>
        <v>170951.11161096371</v>
      </c>
      <c r="AT31" s="2"/>
    </row>
    <row r="32" spans="1:46" x14ac:dyDescent="0.2">
      <c r="A32">
        <f t="shared" si="4"/>
        <v>2015</v>
      </c>
      <c r="B32" s="2">
        <f t="shared" si="15"/>
        <v>173088.00050610074</v>
      </c>
      <c r="C32" s="2"/>
      <c r="D32" s="2"/>
      <c r="E32" s="2"/>
      <c r="F32" s="2"/>
      <c r="G32" s="2"/>
      <c r="H32" s="2"/>
      <c r="I32" s="2">
        <f t="shared" ref="I32:I33" si="23">SUM(B32:H32)</f>
        <v>173088.00050610074</v>
      </c>
      <c r="J32" s="2">
        <f t="shared" si="6"/>
        <v>2136.8888951370318</v>
      </c>
      <c r="K32" s="6">
        <f t="shared" si="7"/>
        <v>1.2499999999999916E-2</v>
      </c>
      <c r="L32" s="7">
        <f t="shared" si="8"/>
        <v>1.0125</v>
      </c>
      <c r="O32">
        <f t="shared" si="9"/>
        <v>2015</v>
      </c>
      <c r="P32" s="6">
        <f t="shared" si="10"/>
        <v>1</v>
      </c>
      <c r="Q32" s="6"/>
      <c r="R32" s="6"/>
      <c r="S32" s="6"/>
      <c r="T32" s="6"/>
      <c r="U32" s="6"/>
      <c r="V32" s="6"/>
      <c r="W32" s="20">
        <f t="shared" si="22"/>
        <v>1</v>
      </c>
      <c r="X32" s="7">
        <f t="shared" si="17"/>
        <v>1</v>
      </c>
      <c r="Y32" s="7">
        <f t="shared" si="18"/>
        <v>0</v>
      </c>
      <c r="AA32">
        <f t="shared" si="11"/>
        <v>2015</v>
      </c>
      <c r="AB32" s="1" t="b">
        <f t="shared" si="19"/>
        <v>1</v>
      </c>
      <c r="AD32" s="1"/>
      <c r="AE32" s="1"/>
      <c r="AG32" s="1"/>
      <c r="AH32" s="1"/>
      <c r="AI32" s="1" t="b">
        <f t="shared" si="12"/>
        <v>1</v>
      </c>
      <c r="AK32">
        <f t="shared" si="13"/>
        <v>2015</v>
      </c>
      <c r="AL32" s="24">
        <f t="shared" si="20"/>
        <v>173088.00050610074</v>
      </c>
      <c r="AM32" s="58"/>
      <c r="AN32" s="58"/>
      <c r="AO32" s="58"/>
      <c r="AP32" s="58"/>
      <c r="AQ32" s="58"/>
      <c r="AR32" s="58"/>
      <c r="AS32" s="2">
        <f t="shared" si="14"/>
        <v>173088.00050610074</v>
      </c>
      <c r="AT32" s="2"/>
    </row>
    <row r="33" spans="1:46" x14ac:dyDescent="0.2">
      <c r="A33">
        <f t="shared" si="4"/>
        <v>2016</v>
      </c>
      <c r="B33" s="2">
        <f t="shared" si="15"/>
        <v>193547.00216592185</v>
      </c>
      <c r="C33" s="2"/>
      <c r="D33" s="2"/>
      <c r="E33" s="2"/>
      <c r="F33" s="2"/>
      <c r="G33" s="2"/>
      <c r="H33" s="2"/>
      <c r="I33" s="2">
        <f t="shared" si="23"/>
        <v>193547.00216592185</v>
      </c>
      <c r="J33" s="2">
        <f t="shared" si="6"/>
        <v>20459.001659821108</v>
      </c>
      <c r="K33" s="6">
        <f t="shared" si="7"/>
        <v>0.1182</v>
      </c>
      <c r="L33" s="7">
        <f t="shared" si="8"/>
        <v>1.1182000000000001</v>
      </c>
      <c r="O33">
        <f t="shared" si="9"/>
        <v>2016</v>
      </c>
      <c r="P33" s="6">
        <f t="shared" si="10"/>
        <v>1</v>
      </c>
      <c r="Q33" s="6"/>
      <c r="R33" s="6"/>
      <c r="S33" s="6"/>
      <c r="T33" s="6"/>
      <c r="U33" s="6"/>
      <c r="V33" s="6"/>
      <c r="W33" s="20">
        <f t="shared" si="22"/>
        <v>1</v>
      </c>
      <c r="X33" s="7">
        <f t="shared" si="17"/>
        <v>1</v>
      </c>
      <c r="Y33" s="7">
        <f t="shared" si="18"/>
        <v>0</v>
      </c>
      <c r="AA33">
        <f t="shared" si="11"/>
        <v>2016</v>
      </c>
      <c r="AB33" s="1" t="b">
        <f t="shared" si="19"/>
        <v>1</v>
      </c>
      <c r="AD33" s="1"/>
      <c r="AE33" s="1"/>
      <c r="AG33" s="1"/>
      <c r="AH33" s="1"/>
      <c r="AI33" s="1" t="b">
        <f t="shared" si="12"/>
        <v>1</v>
      </c>
      <c r="AK33">
        <f t="shared" si="13"/>
        <v>2016</v>
      </c>
      <c r="AL33" s="24">
        <f t="shared" si="20"/>
        <v>193547.00216592185</v>
      </c>
      <c r="AM33" s="58"/>
      <c r="AN33" s="58"/>
      <c r="AO33" s="58"/>
      <c r="AP33" s="58"/>
      <c r="AQ33" s="58"/>
      <c r="AR33" s="58"/>
      <c r="AS33" s="2">
        <f t="shared" si="14"/>
        <v>193547.00216592185</v>
      </c>
      <c r="AT33" s="2"/>
    </row>
    <row r="34" spans="1:46" x14ac:dyDescent="0.2">
      <c r="A34">
        <f t="shared" si="4"/>
        <v>2017</v>
      </c>
      <c r="B34" s="2">
        <f t="shared" si="15"/>
        <v>235488.63753527708</v>
      </c>
      <c r="C34" s="2"/>
      <c r="D34" s="2"/>
      <c r="E34" s="2"/>
      <c r="F34" s="2"/>
      <c r="G34" s="2"/>
      <c r="H34" s="2"/>
      <c r="I34" s="2">
        <f t="shared" ref="I34:I35" si="24">SUM(B34:H34)</f>
        <v>235488.63753527708</v>
      </c>
      <c r="J34" s="2">
        <f t="shared" ref="J34:J35" si="25">I34-I33</f>
        <v>41941.635369355237</v>
      </c>
      <c r="K34" s="6">
        <f t="shared" ref="K34:K35" si="26">(J34/I33)</f>
        <v>0.21669999999999986</v>
      </c>
      <c r="L34" s="7">
        <f t="shared" ref="L34:L35" si="27">K34+1</f>
        <v>1.2166999999999999</v>
      </c>
      <c r="O34">
        <f t="shared" ref="O34:O35" si="28">A34</f>
        <v>2017</v>
      </c>
      <c r="P34" s="6">
        <f t="shared" ref="P34:P35" si="29">B34/$I34</f>
        <v>1</v>
      </c>
      <c r="Q34" s="6"/>
      <c r="R34" s="6"/>
      <c r="S34" s="6"/>
      <c r="T34" s="6"/>
      <c r="U34" s="6"/>
      <c r="V34" s="6"/>
      <c r="W34" s="20">
        <f t="shared" ref="W34:W35" si="30">SUM(P34:V34)</f>
        <v>1</v>
      </c>
      <c r="X34" s="7">
        <f t="shared" si="17"/>
        <v>1</v>
      </c>
      <c r="Y34" s="7">
        <f t="shared" si="18"/>
        <v>0</v>
      </c>
      <c r="AA34">
        <f t="shared" ref="AA34:AA35" si="31">O34</f>
        <v>2017</v>
      </c>
      <c r="AB34" s="1" t="b">
        <f t="shared" ref="AB34:AB35" si="32">AND((B34/$I34)&gt;0.99,(B34/$I34)&lt;1.1)</f>
        <v>1</v>
      </c>
      <c r="AD34" s="1"/>
      <c r="AE34" s="1"/>
      <c r="AG34" s="1"/>
      <c r="AH34" s="1"/>
      <c r="AI34" s="1" t="b">
        <f t="shared" ref="AI34:AI35" si="33">AND((I34/$I34)&gt;0.999,(I34/$I34)&lt;1.01)</f>
        <v>1</v>
      </c>
      <c r="AK34">
        <f t="shared" ref="AK34:AK35" si="34">A34</f>
        <v>2017</v>
      </c>
      <c r="AL34" s="24">
        <f t="shared" si="20"/>
        <v>235488.63753527708</v>
      </c>
      <c r="AM34" s="58"/>
      <c r="AN34" s="58"/>
      <c r="AO34" s="58"/>
      <c r="AP34" s="58"/>
      <c r="AQ34" s="58"/>
      <c r="AR34" s="58"/>
      <c r="AS34" s="2">
        <f t="shared" ref="AS34:AS35" si="35">I34</f>
        <v>235488.63753527708</v>
      </c>
      <c r="AT34" s="2"/>
    </row>
    <row r="35" spans="1:46" x14ac:dyDescent="0.2">
      <c r="A35">
        <f t="shared" si="4"/>
        <v>2018</v>
      </c>
      <c r="B35" s="2">
        <f t="shared" si="15"/>
        <v>224891.64884618961</v>
      </c>
      <c r="C35" s="2"/>
      <c r="D35" s="2"/>
      <c r="E35" s="2"/>
      <c r="F35" s="2"/>
      <c r="G35" s="2"/>
      <c r="H35" s="2"/>
      <c r="I35" s="2">
        <f t="shared" si="24"/>
        <v>224891.64884618961</v>
      </c>
      <c r="J35" s="2">
        <f t="shared" si="25"/>
        <v>-10596.988689087477</v>
      </c>
      <c r="K35" s="6">
        <f t="shared" si="26"/>
        <v>-4.5000000000000033E-2</v>
      </c>
      <c r="L35" s="7">
        <f t="shared" si="27"/>
        <v>0.95499999999999996</v>
      </c>
      <c r="O35">
        <f t="shared" si="28"/>
        <v>2018</v>
      </c>
      <c r="P35" s="6">
        <f t="shared" si="29"/>
        <v>1</v>
      </c>
      <c r="Q35" s="6"/>
      <c r="R35" s="6"/>
      <c r="S35" s="6"/>
      <c r="T35" s="6"/>
      <c r="U35" s="6"/>
      <c r="V35" s="6"/>
      <c r="W35" s="20">
        <f t="shared" si="30"/>
        <v>1</v>
      </c>
      <c r="X35" s="7">
        <f t="shared" si="17"/>
        <v>1</v>
      </c>
      <c r="Y35" s="7">
        <f t="shared" si="18"/>
        <v>0</v>
      </c>
      <c r="AA35">
        <f t="shared" si="31"/>
        <v>2018</v>
      </c>
      <c r="AB35" s="1" t="b">
        <f t="shared" si="32"/>
        <v>1</v>
      </c>
      <c r="AD35" s="1"/>
      <c r="AE35" s="1"/>
      <c r="AG35" s="1"/>
      <c r="AH35" s="1"/>
      <c r="AI35" s="1" t="b">
        <f t="shared" si="33"/>
        <v>1</v>
      </c>
      <c r="AK35">
        <f t="shared" si="34"/>
        <v>2018</v>
      </c>
      <c r="AL35" s="24">
        <f t="shared" si="20"/>
        <v>224891.64884618961</v>
      </c>
      <c r="AM35" s="58"/>
      <c r="AN35" s="58"/>
      <c r="AO35" s="58"/>
      <c r="AP35" s="58"/>
      <c r="AQ35" s="58"/>
      <c r="AR35" s="58"/>
      <c r="AS35" s="2">
        <f t="shared" si="35"/>
        <v>224891.64884618961</v>
      </c>
      <c r="AT35" s="2"/>
    </row>
    <row r="36" spans="1:46" x14ac:dyDescent="0.2">
      <c r="A36">
        <f t="shared" ref="A36:A37" si="36">A16</f>
        <v>2019</v>
      </c>
      <c r="B36" s="2">
        <f t="shared" ref="B36:B37" si="37">AL35*(1+(B16/100))</f>
        <v>295633.56590724702</v>
      </c>
      <c r="C36" s="2"/>
      <c r="D36" s="2"/>
      <c r="E36" s="2"/>
      <c r="F36" s="2"/>
      <c r="G36" s="2"/>
      <c r="H36" s="2"/>
      <c r="I36" s="2">
        <f t="shared" ref="I36:I37" si="38">SUM(B36:H36)</f>
        <v>295633.56590724702</v>
      </c>
      <c r="J36" s="2">
        <f t="shared" ref="J36:J37" si="39">I36-I35</f>
        <v>70741.917061057407</v>
      </c>
      <c r="K36" s="6">
        <f t="shared" ref="K36:K37" si="40">(J36/I35)</f>
        <v>0.31456000000000001</v>
      </c>
      <c r="L36" s="7">
        <f t="shared" ref="L36:L37" si="41">K36+1</f>
        <v>1.31456</v>
      </c>
      <c r="O36">
        <f t="shared" ref="O36:O37" si="42">A36</f>
        <v>2019</v>
      </c>
      <c r="P36" s="6">
        <f t="shared" ref="P36:P37" si="43">B36/$I36</f>
        <v>1</v>
      </c>
      <c r="Q36" s="6"/>
      <c r="R36" s="6"/>
      <c r="S36" s="6"/>
      <c r="T36" s="6"/>
      <c r="U36" s="6"/>
      <c r="V36" s="6"/>
      <c r="W36" s="20">
        <f t="shared" ref="W36:W37" si="44">SUM(P36:V36)</f>
        <v>1</v>
      </c>
      <c r="X36" s="7">
        <f t="shared" ref="X36:X37" si="45">SUM(P36:U36)</f>
        <v>1</v>
      </c>
      <c r="Y36" s="7">
        <f t="shared" ref="Y36:Y37" si="46">W36-(X36+V36)</f>
        <v>0</v>
      </c>
      <c r="AA36">
        <f t="shared" ref="AA36:AA37" si="47">O36</f>
        <v>2019</v>
      </c>
      <c r="AB36" s="1" t="b">
        <f t="shared" ref="AB36:AB37" si="48">AND((B36/$I36)&gt;0.99,(B36/$I36)&lt;1.1)</f>
        <v>1</v>
      </c>
      <c r="AD36" s="1"/>
      <c r="AE36" s="1"/>
      <c r="AG36" s="1"/>
      <c r="AH36" s="1"/>
      <c r="AI36" s="1" t="b">
        <f t="shared" ref="AI36:AI37" si="49">AND((I36/$I36)&gt;0.999,(I36/$I36)&lt;1.01)</f>
        <v>1</v>
      </c>
      <c r="AK36">
        <f t="shared" ref="AK36:AK37" si="50">A36</f>
        <v>2019</v>
      </c>
      <c r="AL36" s="24">
        <f t="shared" si="20"/>
        <v>295633.56590724702</v>
      </c>
      <c r="AM36" s="58"/>
      <c r="AN36" s="58"/>
      <c r="AO36" s="58"/>
      <c r="AP36" s="58"/>
      <c r="AQ36" s="58"/>
      <c r="AR36" s="58"/>
      <c r="AS36" s="2">
        <f t="shared" ref="AS36:AS37" si="51">I36</f>
        <v>295633.56590724702</v>
      </c>
      <c r="AT36" s="2"/>
    </row>
    <row r="37" spans="1:46" x14ac:dyDescent="0.2">
      <c r="A37">
        <f t="shared" si="36"/>
        <v>2020</v>
      </c>
      <c r="B37" s="2">
        <f t="shared" si="37"/>
        <v>349941.45196440828</v>
      </c>
      <c r="C37" s="2"/>
      <c r="D37" s="2"/>
      <c r="E37" s="2"/>
      <c r="F37" s="2"/>
      <c r="G37" s="2"/>
      <c r="H37" s="2"/>
      <c r="I37" s="2">
        <f t="shared" si="38"/>
        <v>349941.45196440828</v>
      </c>
      <c r="J37" s="2">
        <f t="shared" si="39"/>
        <v>54307.88605716126</v>
      </c>
      <c r="K37" s="6">
        <f t="shared" si="40"/>
        <v>0.18369999999999995</v>
      </c>
      <c r="L37" s="7">
        <f t="shared" si="41"/>
        <v>1.1837</v>
      </c>
      <c r="O37">
        <f t="shared" si="42"/>
        <v>2020</v>
      </c>
      <c r="P37" s="6">
        <f t="shared" si="43"/>
        <v>1</v>
      </c>
      <c r="Q37" s="6"/>
      <c r="R37" s="6"/>
      <c r="S37" s="6"/>
      <c r="T37" s="6"/>
      <c r="U37" s="6"/>
      <c r="V37" s="6"/>
      <c r="W37" s="20">
        <f t="shared" si="44"/>
        <v>1</v>
      </c>
      <c r="X37" s="7">
        <f t="shared" si="45"/>
        <v>1</v>
      </c>
      <c r="Y37" s="7">
        <f t="shared" si="46"/>
        <v>0</v>
      </c>
      <c r="AA37">
        <f t="shared" si="47"/>
        <v>2020</v>
      </c>
      <c r="AB37" s="1" t="b">
        <f t="shared" si="48"/>
        <v>1</v>
      </c>
      <c r="AD37" s="1"/>
      <c r="AE37" s="1"/>
      <c r="AG37" s="1"/>
      <c r="AH37" s="1"/>
      <c r="AI37" s="1" t="b">
        <f t="shared" si="49"/>
        <v>1</v>
      </c>
      <c r="AK37">
        <f t="shared" si="50"/>
        <v>2020</v>
      </c>
      <c r="AL37" s="24">
        <f t="shared" si="20"/>
        <v>349941.45196440828</v>
      </c>
      <c r="AM37" s="58"/>
      <c r="AN37" s="58"/>
      <c r="AO37" s="58"/>
      <c r="AP37" s="58"/>
      <c r="AQ37" s="58"/>
      <c r="AR37" s="58"/>
      <c r="AS37" s="2">
        <f t="shared" si="51"/>
        <v>349941.45196440828</v>
      </c>
      <c r="AT37" s="2"/>
    </row>
    <row r="38" spans="1:46" x14ac:dyDescent="0.2">
      <c r="A38" s="9" t="s">
        <v>44</v>
      </c>
      <c r="B38" s="10">
        <f>AL37</f>
        <v>349941.45196440828</v>
      </c>
      <c r="C38" s="10"/>
      <c r="D38" s="10"/>
      <c r="E38" s="10"/>
      <c r="F38" s="10"/>
      <c r="G38" s="10"/>
      <c r="H38" s="10"/>
      <c r="I38" s="10">
        <f>SUM(B38:H38)</f>
        <v>349941.45196440828</v>
      </c>
      <c r="J38" s="10"/>
      <c r="K38" s="10"/>
      <c r="O38" s="68" t="s">
        <v>169</v>
      </c>
      <c r="P38" s="69">
        <f>P35</f>
        <v>1</v>
      </c>
      <c r="Q38" s="68"/>
      <c r="R38" s="69"/>
      <c r="S38" s="68"/>
      <c r="T38" s="68"/>
      <c r="U38" s="69"/>
      <c r="V38" s="69"/>
      <c r="W38" s="69">
        <f>W35</f>
        <v>1</v>
      </c>
      <c r="X38" s="69">
        <f>X35</f>
        <v>1</v>
      </c>
      <c r="Y38" s="69"/>
      <c r="Z38" s="73"/>
      <c r="AA38" s="73"/>
    </row>
    <row r="39" spans="1:46" x14ac:dyDescent="0.2">
      <c r="A39" s="11" t="s">
        <v>45</v>
      </c>
      <c r="I39" s="6">
        <f>(I38-I23)/I23</f>
        <v>2.4994145196440827</v>
      </c>
      <c r="K39" s="6"/>
      <c r="R39" s="7"/>
      <c r="Z39" s="74"/>
      <c r="AA39" s="74"/>
    </row>
    <row r="40" spans="1:46" x14ac:dyDescent="0.2">
      <c r="A40" s="1" t="s">
        <v>46</v>
      </c>
      <c r="I40" s="25">
        <f>STDEV(L24:L37)</f>
        <v>0.17704522928671912</v>
      </c>
      <c r="K40" s="26"/>
      <c r="S40" s="70"/>
      <c r="T40" s="70"/>
      <c r="U40" s="71" t="s">
        <v>170</v>
      </c>
      <c r="V40" s="70" t="b">
        <f>IF((V37=V38),TRUE,FALSE)</f>
        <v>1</v>
      </c>
      <c r="W40" s="70"/>
      <c r="X40" s="72" t="b">
        <f>IF(((SUM(P37:U37))=X38),TRUE,FALSE)</f>
        <v>1</v>
      </c>
      <c r="Y40" s="70"/>
      <c r="Z40" s="75"/>
      <c r="AA40" s="73"/>
    </row>
    <row r="41" spans="1:46" x14ac:dyDescent="0.2">
      <c r="A41" s="1" t="s">
        <v>47</v>
      </c>
      <c r="I41" s="13">
        <f>((1+I39)^(1/I46))-1</f>
        <v>9.3595749373657E-2</v>
      </c>
      <c r="K41" s="26"/>
      <c r="Z41" s="74"/>
      <c r="AA41" s="74"/>
    </row>
    <row r="42" spans="1:46" x14ac:dyDescent="0.2">
      <c r="A42" s="1" t="s">
        <v>48</v>
      </c>
      <c r="I42" s="27">
        <f>J25</f>
        <v>-39015.378000000012</v>
      </c>
    </row>
    <row r="43" spans="1:46" x14ac:dyDescent="0.2">
      <c r="A43" s="1" t="s">
        <v>49</v>
      </c>
      <c r="I43" s="28">
        <f>K25</f>
        <v>-0.37020000000000008</v>
      </c>
    </row>
    <row r="44" spans="1:46" x14ac:dyDescent="0.2">
      <c r="A44" s="3" t="s">
        <v>50</v>
      </c>
      <c r="I44" s="29">
        <f>I38-I37</f>
        <v>0</v>
      </c>
    </row>
    <row r="45" spans="1:46" x14ac:dyDescent="0.2">
      <c r="A45" s="3" t="s">
        <v>134</v>
      </c>
      <c r="I45" s="29">
        <f>((SUM(J24:J37))-(I38-I23))</f>
        <v>0</v>
      </c>
    </row>
    <row r="46" spans="1:46" x14ac:dyDescent="0.2">
      <c r="A46" s="3" t="s">
        <v>139</v>
      </c>
      <c r="I46" s="3">
        <f>COUNTA(I24:I37)</f>
        <v>14</v>
      </c>
    </row>
    <row r="47" spans="1:46" x14ac:dyDescent="0.2">
      <c r="A47" s="80" t="s">
        <v>91</v>
      </c>
      <c r="B47" s="2"/>
      <c r="C47" s="2"/>
      <c r="D47" s="2"/>
      <c r="E47" s="2"/>
      <c r="G47" s="2"/>
      <c r="H47" s="2"/>
      <c r="I47" s="81">
        <f>X38</f>
        <v>1</v>
      </c>
    </row>
    <row r="48" spans="1:46" x14ac:dyDescent="0.2">
      <c r="A48" s="80" t="s">
        <v>174</v>
      </c>
      <c r="B48" s="2"/>
      <c r="D48" s="2"/>
      <c r="E48" s="2"/>
      <c r="G48" s="2"/>
      <c r="H48" s="2"/>
      <c r="I48" s="81">
        <f>V38</f>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7D4F-5604-4979-B97F-161B389ABF2C}">
  <dimension ref="A1:AQ50"/>
  <sheetViews>
    <sheetView topLeftCell="A10" workbookViewId="0">
      <selection activeCell="A37" sqref="A37"/>
    </sheetView>
  </sheetViews>
  <sheetFormatPr baseColWidth="10" defaultColWidth="8.83203125" defaultRowHeight="15" x14ac:dyDescent="0.2"/>
  <cols>
    <col min="1" max="1" width="25.5" customWidth="1"/>
    <col min="9" max="9" width="11.6640625" customWidth="1"/>
    <col min="10" max="10" width="10" bestFit="1" customWidth="1"/>
    <col min="15" max="15" width="9.83203125" bestFit="1" customWidth="1"/>
    <col min="16" max="16" width="9.83203125" customWidth="1"/>
    <col min="19" max="19" width="10.83203125" bestFit="1" customWidth="1"/>
    <col min="21" max="21" width="11.83203125" bestFit="1" customWidth="1"/>
    <col min="26" max="26" width="10.83203125" bestFit="1" customWidth="1"/>
    <col min="27" max="31" width="10.83203125" customWidth="1"/>
  </cols>
  <sheetData>
    <row r="1" spans="1:16" x14ac:dyDescent="0.2">
      <c r="A1" s="18" t="s">
        <v>17</v>
      </c>
      <c r="N1" s="63" t="s">
        <v>131</v>
      </c>
      <c r="O1" s="42"/>
    </row>
    <row r="2" spans="1:16" x14ac:dyDescent="0.2">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2"/>
      <c r="O2" s="42"/>
      <c r="P2" s="41"/>
    </row>
    <row r="3" spans="1:16" x14ac:dyDescent="0.2">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2" t="s">
        <v>16</v>
      </c>
      <c r="O3" s="42" t="s">
        <v>76</v>
      </c>
      <c r="P3" s="41"/>
    </row>
    <row r="4" spans="1:16" x14ac:dyDescent="0.2">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c r="N4" s="46">
        <f>'4% Withdrawals-No Rebalancing'!N4</f>
        <v>2007</v>
      </c>
      <c r="O4" s="47">
        <f>'4% Withdrawals-No Rebalancing'!O4</f>
        <v>4.1000000000000002E-2</v>
      </c>
      <c r="P4" s="41"/>
    </row>
    <row r="5" spans="1:16" x14ac:dyDescent="0.2">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c r="N5" s="46">
        <f>'4% Withdrawals-No Rebalancing'!N5</f>
        <v>2008</v>
      </c>
      <c r="O5" s="47">
        <f>'4% Withdrawals-No Rebalancing'!O5</f>
        <v>0</v>
      </c>
      <c r="P5" s="41"/>
    </row>
    <row r="6" spans="1:16" x14ac:dyDescent="0.2">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c r="N6" s="46">
        <f>'4% Withdrawals-No Rebalancing'!N6</f>
        <v>2009</v>
      </c>
      <c r="O6" s="47">
        <f>'4% Withdrawals-No Rebalancing'!O6</f>
        <v>2.8000000000000001E-2</v>
      </c>
      <c r="P6" s="41"/>
    </row>
    <row r="7" spans="1:16" x14ac:dyDescent="0.2">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c r="N7" s="46">
        <f>'4% Withdrawals-No Rebalancing'!N7</f>
        <v>2010</v>
      </c>
      <c r="O7" s="47">
        <f>'4% Withdrawals-No Rebalancing'!O7</f>
        <v>1.4E-2</v>
      </c>
      <c r="P7" s="41"/>
    </row>
    <row r="8" spans="1:16" x14ac:dyDescent="0.2">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c r="N8" s="46">
        <f>'4% Withdrawals-No Rebalancing'!N8</f>
        <v>2011</v>
      </c>
      <c r="O8" s="47">
        <f>'4% Withdrawals-No Rebalancing'!O8</f>
        <v>0.03</v>
      </c>
      <c r="P8" s="41"/>
    </row>
    <row r="9" spans="1:16" x14ac:dyDescent="0.2">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c r="N9" s="46">
        <f>'4% Withdrawals-No Rebalancing'!N9</f>
        <v>2012</v>
      </c>
      <c r="O9" s="47">
        <f>'4% Withdrawals-No Rebalancing'!O9</f>
        <v>1.7999999999999999E-2</v>
      </c>
      <c r="P9" s="41"/>
    </row>
    <row r="10" spans="1:16" x14ac:dyDescent="0.2">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c r="N10" s="46">
        <f>'4% Withdrawals-No Rebalancing'!N10</f>
        <v>2013</v>
      </c>
      <c r="O10" s="47">
        <f>'4% Withdrawals-No Rebalancing'!O10</f>
        <v>1.15559170535223E-2</v>
      </c>
      <c r="P10" s="41"/>
    </row>
    <row r="11" spans="1:16" x14ac:dyDescent="0.2">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c r="N11" s="46">
        <f>'4% Withdrawals-No Rebalancing'!N11</f>
        <v>2014</v>
      </c>
      <c r="O11" s="47">
        <f>'4% Withdrawals-No Rebalancing'!O11</f>
        <v>1.29E-2</v>
      </c>
      <c r="P11" s="41"/>
    </row>
    <row r="12" spans="1:16" x14ac:dyDescent="0.2">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c r="N12" s="46">
        <f>'4% Withdrawals-No Rebalancing'!N12</f>
        <v>2015</v>
      </c>
      <c r="O12" s="47">
        <f>'4% Withdrawals-No Rebalancing'!O12</f>
        <v>4.4000000000000003E-3</v>
      </c>
      <c r="P12" s="41"/>
    </row>
    <row r="13" spans="1:16" x14ac:dyDescent="0.2">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c r="N13" s="46">
        <f>'4% Withdrawals-No Rebalancing'!N13</f>
        <v>2016</v>
      </c>
      <c r="O13" s="47">
        <f>'4% Withdrawals-No Rebalancing'!O13</f>
        <v>1.7000000000000001E-2</v>
      </c>
      <c r="P13" s="41"/>
    </row>
    <row r="14" spans="1:16" x14ac:dyDescent="0.2">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c r="N14" s="46">
        <f>'4% Withdrawals-No Rebalancing'!N14</f>
        <v>2017</v>
      </c>
      <c r="O14" s="47">
        <f>'4% Withdrawals-No Rebalancing'!O14</f>
        <v>2.23E-2</v>
      </c>
      <c r="P14" s="41"/>
    </row>
    <row r="15" spans="1:16" x14ac:dyDescent="0.2">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c r="N15" s="46">
        <f>'4% Withdrawals-No Rebalancing'!N15</f>
        <v>2018</v>
      </c>
      <c r="O15" s="47">
        <f>'4% Withdrawals-No Rebalancing'!O15</f>
        <v>2.2088751106458498E-2</v>
      </c>
      <c r="P15" s="41"/>
    </row>
    <row r="16" spans="1:16" x14ac:dyDescent="0.2">
      <c r="A16" s="16">
        <f>'Non-Rebalanced Strategy'!A16</f>
        <v>2019</v>
      </c>
      <c r="B16" s="16">
        <f>'Non-Rebalanced Strategy'!B16</f>
        <v>31.456</v>
      </c>
      <c r="C16" s="16">
        <f>'Non-Rebalanced Strategy'!C16</f>
        <v>0</v>
      </c>
      <c r="D16" s="16">
        <f>'Non-Rebalanced Strategy'!D16</f>
        <v>31.031600000000001</v>
      </c>
      <c r="E16" s="16">
        <f>'Non-Rebalanced Strategy'!E16</f>
        <v>27.3674</v>
      </c>
      <c r="F16" s="16">
        <f>'Non-Rebalanced Strategy'!F16</f>
        <v>0</v>
      </c>
      <c r="G16" s="16">
        <f>'Non-Rebalanced Strategy'!G16</f>
        <v>21.507999999999999</v>
      </c>
      <c r="H16" s="16">
        <f>'Non-Rebalanced Strategy'!H16</f>
        <v>8.7140000000000004</v>
      </c>
      <c r="N16" s="46">
        <f>'4% Withdrawals-No Rebalancing'!N16</f>
        <v>2019</v>
      </c>
      <c r="O16" s="47">
        <f>'4% Withdrawals-No Rebalancing'!O16</f>
        <v>2.2862976460393248E-2</v>
      </c>
      <c r="P16" s="41"/>
    </row>
    <row r="17" spans="1:43" x14ac:dyDescent="0.2">
      <c r="A17" s="16">
        <f>'Non-Rebalanced Strategy'!A17</f>
        <v>2020</v>
      </c>
      <c r="B17" s="16">
        <f>'Non-Rebalanced Strategy'!B17</f>
        <v>18.37</v>
      </c>
      <c r="C17" s="16">
        <f>'Non-Rebalanced Strategy'!C17</f>
        <v>0</v>
      </c>
      <c r="D17" s="16">
        <f>'Non-Rebalanced Strategy'!D17</f>
        <v>18.239999999999998</v>
      </c>
      <c r="E17" s="16">
        <f>'Non-Rebalanced Strategy'!E17</f>
        <v>19.11</v>
      </c>
      <c r="F17" s="16">
        <f>'Non-Rebalanced Strategy'!F17</f>
        <v>0</v>
      </c>
      <c r="G17" s="16">
        <f>'Non-Rebalanced Strategy'!G17</f>
        <v>11.28</v>
      </c>
      <c r="H17" s="16">
        <f>'Non-Rebalanced Strategy'!H17</f>
        <v>7.72</v>
      </c>
      <c r="N17" s="46">
        <f>'4% Withdrawals-No Rebalancing'!N17</f>
        <v>0</v>
      </c>
      <c r="O17" s="47">
        <f>'4% Withdrawals-No Rebalancing'!O17</f>
        <v>0</v>
      </c>
      <c r="P17" s="41"/>
    </row>
    <row r="18" spans="1:43" x14ac:dyDescent="0.2">
      <c r="N18" s="1"/>
      <c r="O18" s="64"/>
    </row>
    <row r="20" spans="1:43" x14ac:dyDescent="0.2">
      <c r="A20" s="18" t="s">
        <v>98</v>
      </c>
      <c r="N20" s="18" t="s">
        <v>64</v>
      </c>
      <c r="R20" s="18" t="s">
        <v>107</v>
      </c>
      <c r="AG20" s="18" t="s">
        <v>108</v>
      </c>
    </row>
    <row r="21" spans="1:43" x14ac:dyDescent="0.2">
      <c r="B21" s="4" t="str">
        <f t="shared" ref="B21:H22" si="0">B2</f>
        <v>LC Stocks</v>
      </c>
      <c r="C21" s="4" t="str">
        <f t="shared" si="0"/>
        <v>Ext Mkt</v>
      </c>
      <c r="D21" s="4" t="str">
        <f t="shared" si="0"/>
        <v>Mcap Stk</v>
      </c>
      <c r="E21" s="4" t="str">
        <f t="shared" si="0"/>
        <v>Small Cap</v>
      </c>
      <c r="F21" s="4" t="str">
        <f t="shared" si="0"/>
        <v>Intl Val</v>
      </c>
      <c r="G21" s="4" t="str">
        <f t="shared" si="0"/>
        <v>Tot Int Stk</v>
      </c>
      <c r="H21" s="4" t="str">
        <f t="shared" si="0"/>
        <v>Bonds</v>
      </c>
      <c r="I21" s="5"/>
      <c r="J21" s="5" t="s">
        <v>42</v>
      </c>
      <c r="K21" s="5" t="s">
        <v>39</v>
      </c>
      <c r="L21" s="5" t="s">
        <v>40</v>
      </c>
      <c r="O21" s="66">
        <v>4.4999999999999998E-2</v>
      </c>
      <c r="S21" s="4" t="str">
        <f t="shared" ref="S21:Z23" si="1">B21</f>
        <v>LC Stocks</v>
      </c>
      <c r="T21" s="4" t="str">
        <f t="shared" si="1"/>
        <v>Ext Mkt</v>
      </c>
      <c r="U21" s="4" t="str">
        <f t="shared" si="1"/>
        <v>Mcap Stk</v>
      </c>
      <c r="V21" s="4" t="str">
        <f t="shared" si="1"/>
        <v>Small Cap</v>
      </c>
      <c r="W21" s="4" t="str">
        <f t="shared" si="1"/>
        <v>Intl Val</v>
      </c>
      <c r="X21" s="4" t="str">
        <f t="shared" si="1"/>
        <v>Tot Int Stk</v>
      </c>
      <c r="Y21" s="4" t="str">
        <f t="shared" si="1"/>
        <v>Bonds</v>
      </c>
      <c r="Z21" s="5"/>
      <c r="AA21" s="5" t="s">
        <v>42</v>
      </c>
      <c r="AB21" s="5" t="s">
        <v>39</v>
      </c>
      <c r="AC21" s="5" t="s">
        <v>40</v>
      </c>
      <c r="AD21" s="5" t="s">
        <v>54</v>
      </c>
      <c r="AE21" s="5"/>
      <c r="AH21" s="4" t="str">
        <f t="shared" ref="AH21:AN22" si="2">B21</f>
        <v>LC Stocks</v>
      </c>
      <c r="AI21" s="4" t="str">
        <f t="shared" si="2"/>
        <v>Ext Mkt</v>
      </c>
      <c r="AJ21" s="4" t="str">
        <f t="shared" si="2"/>
        <v>Mcap Stk</v>
      </c>
      <c r="AK21" s="4" t="str">
        <f t="shared" si="2"/>
        <v>Small Cap</v>
      </c>
      <c r="AL21" s="4" t="str">
        <f t="shared" si="2"/>
        <v>Intl Val</v>
      </c>
      <c r="AM21" s="4" t="str">
        <f t="shared" si="2"/>
        <v>Tot Int Stk</v>
      </c>
      <c r="AN21" s="4" t="str">
        <f t="shared" si="2"/>
        <v>Bonds</v>
      </c>
      <c r="AO21" s="5"/>
      <c r="AP21" s="5" t="s">
        <v>171</v>
      </c>
      <c r="AQ21" s="3" t="s">
        <v>172</v>
      </c>
    </row>
    <row r="22" spans="1:43" x14ac:dyDescent="0.2">
      <c r="A22" t="s">
        <v>38</v>
      </c>
      <c r="B22" s="4" t="str">
        <f t="shared" si="0"/>
        <v>VFINX</v>
      </c>
      <c r="C22" s="4" t="str">
        <f t="shared" si="0"/>
        <v>VEXMX</v>
      </c>
      <c r="D22" s="4" t="str">
        <f t="shared" si="0"/>
        <v>VIMSX</v>
      </c>
      <c r="E22" s="4" t="str">
        <f t="shared" si="0"/>
        <v>NAESX</v>
      </c>
      <c r="F22" s="4" t="str">
        <f t="shared" si="0"/>
        <v>VTRIX</v>
      </c>
      <c r="G22" s="4" t="str">
        <f t="shared" si="0"/>
        <v>VGTSX</v>
      </c>
      <c r="H22" s="4" t="str">
        <f t="shared" si="0"/>
        <v>VBMFX</v>
      </c>
      <c r="I22" s="5" t="s">
        <v>36</v>
      </c>
      <c r="J22" s="5" t="s">
        <v>43</v>
      </c>
      <c r="K22" s="5" t="s">
        <v>41</v>
      </c>
      <c r="L22" s="5" t="s">
        <v>41</v>
      </c>
      <c r="R22" t="str">
        <f>A22</f>
        <v>Fund</v>
      </c>
      <c r="S22" s="4" t="str">
        <f t="shared" si="1"/>
        <v>VFINX</v>
      </c>
      <c r="T22" s="4" t="str">
        <f t="shared" si="1"/>
        <v>VEXMX</v>
      </c>
      <c r="U22" s="4" t="str">
        <f t="shared" si="1"/>
        <v>VIMSX</v>
      </c>
      <c r="V22" s="4" t="str">
        <f t="shared" si="1"/>
        <v>NAESX</v>
      </c>
      <c r="W22" s="4" t="str">
        <f t="shared" si="1"/>
        <v>VTRIX</v>
      </c>
      <c r="X22" s="4" t="str">
        <f t="shared" si="1"/>
        <v>VGTSX</v>
      </c>
      <c r="Y22" s="4" t="str">
        <f t="shared" si="1"/>
        <v>VBMFX</v>
      </c>
      <c r="Z22" s="5" t="str">
        <f t="shared" si="1"/>
        <v>Total</v>
      </c>
      <c r="AA22" s="5" t="s">
        <v>43</v>
      </c>
      <c r="AB22" s="5" t="s">
        <v>41</v>
      </c>
      <c r="AC22" s="5" t="s">
        <v>41</v>
      </c>
      <c r="AD22" s="5" t="s">
        <v>53</v>
      </c>
      <c r="AE22" s="5"/>
      <c r="AG22" t="s">
        <v>38</v>
      </c>
      <c r="AH22" s="4" t="str">
        <f t="shared" si="2"/>
        <v>VFINX</v>
      </c>
      <c r="AI22" s="4" t="str">
        <f t="shared" si="2"/>
        <v>VEXMX</v>
      </c>
      <c r="AJ22" s="4" t="str">
        <f t="shared" si="2"/>
        <v>VIMSX</v>
      </c>
      <c r="AK22" s="4" t="str">
        <f t="shared" si="2"/>
        <v>NAESX</v>
      </c>
      <c r="AL22" s="4" t="str">
        <f t="shared" si="2"/>
        <v>VTRIX</v>
      </c>
      <c r="AM22" s="4" t="str">
        <f t="shared" si="2"/>
        <v>VGTSX</v>
      </c>
      <c r="AN22" s="4" t="str">
        <f t="shared" si="2"/>
        <v>VBMFX</v>
      </c>
      <c r="AO22" s="5" t="s">
        <v>36</v>
      </c>
      <c r="AP22" s="5" t="s">
        <v>172</v>
      </c>
      <c r="AQ22" s="3" t="s">
        <v>53</v>
      </c>
    </row>
    <row r="23" spans="1:43" x14ac:dyDescent="0.2">
      <c r="A23" t="s">
        <v>37</v>
      </c>
      <c r="B23" s="2">
        <f>'Non-Rebalanced Strategy'!B23</f>
        <v>20000</v>
      </c>
      <c r="C23" s="2"/>
      <c r="D23" s="2">
        <f>'Non-Rebalanced Strategy'!D23</f>
        <v>15000</v>
      </c>
      <c r="E23" s="2">
        <f>'Non-Rebalanced Strategy'!E23</f>
        <v>10000</v>
      </c>
      <c r="F23" s="2"/>
      <c r="G23" s="2">
        <f>'Non-Rebalanced Strategy'!G23</f>
        <v>15000</v>
      </c>
      <c r="H23" s="2">
        <f>'Non-Rebalanced Strategy'!H23</f>
        <v>40000</v>
      </c>
      <c r="I23" s="2">
        <f>SUM(B23:H23)</f>
        <v>100000</v>
      </c>
      <c r="N23" s="19"/>
      <c r="R23" t="str">
        <f>A23</f>
        <v>Stating Balance</v>
      </c>
      <c r="S23" s="2">
        <f>B23</f>
        <v>20000</v>
      </c>
      <c r="T23" s="2"/>
      <c r="U23" s="2">
        <f t="shared" si="1"/>
        <v>15000</v>
      </c>
      <c r="V23" s="2">
        <f t="shared" si="1"/>
        <v>10000</v>
      </c>
      <c r="W23" s="2"/>
      <c r="X23" s="2">
        <f t="shared" si="1"/>
        <v>15000</v>
      </c>
      <c r="Y23" s="2">
        <f t="shared" si="1"/>
        <v>40000</v>
      </c>
      <c r="Z23" s="2">
        <f t="shared" si="1"/>
        <v>100000</v>
      </c>
      <c r="AD23" s="2"/>
      <c r="AE23" s="2"/>
      <c r="AG23" s="19" t="s">
        <v>52</v>
      </c>
      <c r="AH23" s="6">
        <f>S23/$Z23</f>
        <v>0.2</v>
      </c>
      <c r="AI23" s="6"/>
      <c r="AJ23" s="6">
        <f>U23/$Z23</f>
        <v>0.15</v>
      </c>
      <c r="AK23" s="6">
        <f>V23/$Z23</f>
        <v>0.1</v>
      </c>
      <c r="AL23" s="6"/>
      <c r="AM23" s="6">
        <f>X23/$Z23</f>
        <v>0.15</v>
      </c>
      <c r="AN23" s="6">
        <f>Y23/$Z23</f>
        <v>0.4</v>
      </c>
      <c r="AO23" s="6">
        <f>Z23/$Z23</f>
        <v>1</v>
      </c>
      <c r="AP23" s="22"/>
    </row>
    <row r="24" spans="1:43" x14ac:dyDescent="0.2">
      <c r="A24">
        <f t="shared" ref="A24:A35" si="3">A4</f>
        <v>2007</v>
      </c>
      <c r="B24" s="2">
        <f>B$23*(1+(B4/100))</f>
        <v>21078</v>
      </c>
      <c r="C24" s="2"/>
      <c r="D24" s="2">
        <f>D$23*(1+(D4/100))</f>
        <v>15903.150000000001</v>
      </c>
      <c r="E24" s="2">
        <f>E$23*(1+(E4/100))</f>
        <v>10115.6</v>
      </c>
      <c r="F24" s="2"/>
      <c r="G24" s="2">
        <f>G$23*(1+(G4/100))</f>
        <v>17328.3</v>
      </c>
      <c r="H24" s="2">
        <f>H$23*(1+(H4/100))</f>
        <v>42768</v>
      </c>
      <c r="I24" s="2">
        <f t="shared" ref="I24:I26" si="4">SUM(B24:H24)</f>
        <v>107193.05</v>
      </c>
      <c r="J24" s="2">
        <f>I24-I23</f>
        <v>7193.0500000000029</v>
      </c>
      <c r="K24" s="6">
        <f>(J24/I23)</f>
        <v>7.1930500000000022E-2</v>
      </c>
      <c r="L24" s="7">
        <f t="shared" ref="L24:L34" si="5">K24+1</f>
        <v>1.0719305000000001</v>
      </c>
      <c r="N24">
        <f t="shared" ref="N24:N34" si="6">A24</f>
        <v>2007</v>
      </c>
      <c r="O24" s="2">
        <f>I24*O21</f>
        <v>4823.6872499999999</v>
      </c>
      <c r="P24" s="2"/>
      <c r="Q24" s="2"/>
      <c r="R24">
        <f t="shared" ref="R24:R34" si="7">A24</f>
        <v>2007</v>
      </c>
      <c r="S24" s="2">
        <f t="shared" ref="S24:S34" si="8">B24-($O24/5)</f>
        <v>20113.262549999999</v>
      </c>
      <c r="T24" s="2"/>
      <c r="U24" s="2">
        <f t="shared" ref="U24:V34" si="9">D24-($O24/5)</f>
        <v>14938.412550000001</v>
      </c>
      <c r="V24" s="2">
        <f t="shared" si="9"/>
        <v>9150.8625499999998</v>
      </c>
      <c r="W24" s="2"/>
      <c r="X24" s="2">
        <f t="shared" ref="X24:Y34" si="10">G24-($O24/5)</f>
        <v>16363.562549999999</v>
      </c>
      <c r="Y24" s="2">
        <f t="shared" si="10"/>
        <v>41803.262549999999</v>
      </c>
      <c r="Z24" s="2">
        <f t="shared" ref="Z24:Z34" si="11">SUM(S24:Y24)</f>
        <v>102369.36275</v>
      </c>
      <c r="AA24" s="2">
        <f>Z24-Z23</f>
        <v>2369.3627500000002</v>
      </c>
      <c r="AB24" s="6">
        <f>(AA24/Z23)</f>
        <v>2.3693627500000002E-2</v>
      </c>
      <c r="AC24" s="7">
        <f t="shared" ref="AC24:AC34" si="12">AB24+1</f>
        <v>1.0236936274999999</v>
      </c>
      <c r="AD24" s="2">
        <f t="shared" ref="AD24:AD34" si="13">Z24-(I24-O24)</f>
        <v>0</v>
      </c>
      <c r="AE24" s="2"/>
      <c r="AG24">
        <f t="shared" ref="AG24:AG34" si="14">A24</f>
        <v>2007</v>
      </c>
      <c r="AH24" s="6">
        <f t="shared" ref="AH24:AN34" si="15">S24/$Z24</f>
        <v>0.19647736402461877</v>
      </c>
      <c r="AI24" s="6"/>
      <c r="AJ24" s="6">
        <f t="shared" si="15"/>
        <v>0.14592659511304812</v>
      </c>
      <c r="AK24" s="6">
        <f t="shared" si="15"/>
        <v>8.9390637043894272E-2</v>
      </c>
      <c r="AL24" s="6"/>
      <c r="AM24" s="6">
        <f t="shared" si="15"/>
        <v>0.15984824082535376</v>
      </c>
      <c r="AN24" s="6">
        <f t="shared" si="15"/>
        <v>0.40835716299308505</v>
      </c>
      <c r="AO24" s="20">
        <f>SUM(AH24:AN24)</f>
        <v>1</v>
      </c>
      <c r="AP24" s="7">
        <f>SUM(AH24:AM24)</f>
        <v>0.59164283700691489</v>
      </c>
      <c r="AQ24" s="7">
        <f>AO24-(AP24+AN24)</f>
        <v>0</v>
      </c>
    </row>
    <row r="25" spans="1:43" x14ac:dyDescent="0.2">
      <c r="A25">
        <f t="shared" si="3"/>
        <v>2008</v>
      </c>
      <c r="B25" s="2">
        <f t="shared" ref="B25:B35" si="16">S24*(1+(B5/100))</f>
        <v>12667.332753989998</v>
      </c>
      <c r="C25" s="2"/>
      <c r="D25" s="2">
        <f t="shared" ref="D25:D35" si="17">U24*(1+(D5/100))</f>
        <v>8690.5708850880019</v>
      </c>
      <c r="E25" s="2">
        <f t="shared" ref="E25:E35" si="18">V24*(1+(E5/100))</f>
        <v>5850.146428215</v>
      </c>
      <c r="F25" s="2"/>
      <c r="G25" s="2">
        <f t="shared" ref="G25:G35" si="19">X24*(1+(G5/100))</f>
        <v>9147.0678298244984</v>
      </c>
      <c r="H25" s="2">
        <f t="shared" ref="H25:H35" si="20">Y24*(1+(H5/100))</f>
        <v>43914.327308774999</v>
      </c>
      <c r="I25" s="2">
        <f t="shared" si="4"/>
        <v>80269.445205892494</v>
      </c>
      <c r="J25" s="2">
        <f t="shared" ref="J25:J34" si="21">I25-I24</f>
        <v>-26923.604794107508</v>
      </c>
      <c r="K25" s="6">
        <f t="shared" ref="K25:K34" si="22">(J25/I24)</f>
        <v>-0.25116931362721284</v>
      </c>
      <c r="L25" s="7">
        <f t="shared" si="5"/>
        <v>0.74883068637278716</v>
      </c>
      <c r="N25">
        <f t="shared" si="6"/>
        <v>2008</v>
      </c>
      <c r="O25" s="2">
        <f t="shared" ref="O25:O35" si="23">O24*(1+O5)</f>
        <v>4823.6872499999999</v>
      </c>
      <c r="P25" s="2"/>
      <c r="Q25" s="2"/>
      <c r="R25">
        <f t="shared" si="7"/>
        <v>2008</v>
      </c>
      <c r="S25" s="2">
        <f t="shared" si="8"/>
        <v>11702.595303989998</v>
      </c>
      <c r="T25" s="2"/>
      <c r="U25" s="2">
        <f t="shared" si="9"/>
        <v>7725.8334350880023</v>
      </c>
      <c r="V25" s="2">
        <f t="shared" si="9"/>
        <v>4885.4089782150004</v>
      </c>
      <c r="W25" s="2"/>
      <c r="X25" s="2">
        <f t="shared" si="10"/>
        <v>8182.3303798244988</v>
      </c>
      <c r="Y25" s="2">
        <f t="shared" si="10"/>
        <v>42949.589858774998</v>
      </c>
      <c r="Z25" s="2">
        <f t="shared" si="11"/>
        <v>75445.757955892506</v>
      </c>
      <c r="AA25" s="2">
        <f t="shared" ref="AA25:AA34" si="24">Z25-Z24</f>
        <v>-26923.604794107494</v>
      </c>
      <c r="AB25" s="6">
        <f t="shared" ref="AB25:AB34" si="25">(AA25/Z24)</f>
        <v>-0.26300451688713372</v>
      </c>
      <c r="AC25" s="7">
        <f t="shared" si="12"/>
        <v>0.73699548311286622</v>
      </c>
      <c r="AD25" s="2">
        <f t="shared" si="13"/>
        <v>0</v>
      </c>
      <c r="AE25" s="2"/>
      <c r="AG25">
        <f t="shared" si="14"/>
        <v>2008</v>
      </c>
      <c r="AH25" s="6">
        <f t="shared" si="15"/>
        <v>0.15511270111212389</v>
      </c>
      <c r="AI25" s="6"/>
      <c r="AJ25" s="6">
        <f t="shared" si="15"/>
        <v>0.10240248947601162</v>
      </c>
      <c r="AK25" s="6">
        <f t="shared" si="15"/>
        <v>6.4753925344233854E-2</v>
      </c>
      <c r="AL25" s="6"/>
      <c r="AM25" s="6">
        <f t="shared" si="15"/>
        <v>0.10845315364991225</v>
      </c>
      <c r="AN25" s="6">
        <f t="shared" si="15"/>
        <v>0.56927773041771823</v>
      </c>
      <c r="AO25" s="20">
        <f t="shared" ref="AO25:AO28" si="26">SUM(AH25:AN25)</f>
        <v>0.99999999999999978</v>
      </c>
      <c r="AP25" s="7">
        <f t="shared" ref="AP25:AP35" si="27">SUM(AH25:AM25)</f>
        <v>0.4307222695822816</v>
      </c>
      <c r="AQ25" s="7">
        <f t="shared" ref="AQ25:AQ35" si="28">AO25-(AP25+AN25)</f>
        <v>0</v>
      </c>
    </row>
    <row r="26" spans="1:43" x14ac:dyDescent="0.2">
      <c r="A26">
        <f t="shared" si="3"/>
        <v>2009</v>
      </c>
      <c r="B26" s="2">
        <f t="shared" si="16"/>
        <v>14802.612800016946</v>
      </c>
      <c r="C26" s="2"/>
      <c r="D26" s="2">
        <f t="shared" si="17"/>
        <v>10833.009126011695</v>
      </c>
      <c r="E26" s="2">
        <f t="shared" si="18"/>
        <v>6649.9209929666949</v>
      </c>
      <c r="F26" s="2"/>
      <c r="G26" s="2">
        <f t="shared" si="19"/>
        <v>11187.454858422643</v>
      </c>
      <c r="H26" s="2">
        <f t="shared" si="20"/>
        <v>45496.500537400352</v>
      </c>
      <c r="I26" s="2">
        <f t="shared" si="4"/>
        <v>88969.498314818338</v>
      </c>
      <c r="J26" s="2">
        <f t="shared" si="21"/>
        <v>8700.0531089258438</v>
      </c>
      <c r="K26" s="6">
        <f t="shared" si="22"/>
        <v>0.10838561406036953</v>
      </c>
      <c r="L26" s="7">
        <f t="shared" si="5"/>
        <v>1.1083856140603696</v>
      </c>
      <c r="N26">
        <f t="shared" si="6"/>
        <v>2009</v>
      </c>
      <c r="O26" s="2">
        <f t="shared" si="23"/>
        <v>4958.7504930000005</v>
      </c>
      <c r="P26" s="2"/>
      <c r="Q26" s="2"/>
      <c r="R26">
        <f t="shared" si="7"/>
        <v>2009</v>
      </c>
      <c r="S26" s="2">
        <f t="shared" si="8"/>
        <v>13810.862701416947</v>
      </c>
      <c r="T26" s="2"/>
      <c r="U26" s="2">
        <f t="shared" si="9"/>
        <v>9841.2590274116956</v>
      </c>
      <c r="V26" s="2">
        <f t="shared" si="9"/>
        <v>5658.1708943666945</v>
      </c>
      <c r="W26" s="2"/>
      <c r="X26" s="2">
        <f t="shared" si="10"/>
        <v>10195.704759822644</v>
      </c>
      <c r="Y26" s="2">
        <f t="shared" si="10"/>
        <v>44504.750438800351</v>
      </c>
      <c r="Z26" s="2">
        <f t="shared" si="11"/>
        <v>84010.747821818339</v>
      </c>
      <c r="AA26" s="2">
        <f t="shared" si="24"/>
        <v>8564.9898659258324</v>
      </c>
      <c r="AB26" s="6">
        <f t="shared" si="25"/>
        <v>0.11352513511671712</v>
      </c>
      <c r="AC26" s="7">
        <f t="shared" si="12"/>
        <v>1.113525135116717</v>
      </c>
      <c r="AD26" s="2">
        <f t="shared" si="13"/>
        <v>0</v>
      </c>
      <c r="AE26" s="2"/>
      <c r="AG26">
        <f t="shared" si="14"/>
        <v>2009</v>
      </c>
      <c r="AH26" s="6">
        <f t="shared" si="15"/>
        <v>0.16439399790499357</v>
      </c>
      <c r="AI26" s="6"/>
      <c r="AJ26" s="6">
        <f t="shared" si="15"/>
        <v>0.11714285710543137</v>
      </c>
      <c r="AK26" s="6">
        <f t="shared" si="15"/>
        <v>6.7350559792270018E-2</v>
      </c>
      <c r="AL26" s="6"/>
      <c r="AM26" s="6">
        <f t="shared" si="15"/>
        <v>0.12136190932911477</v>
      </c>
      <c r="AN26" s="6">
        <f t="shared" si="15"/>
        <v>0.52975067586819014</v>
      </c>
      <c r="AO26" s="20">
        <f t="shared" si="26"/>
        <v>0.99999999999999978</v>
      </c>
      <c r="AP26" s="7">
        <f t="shared" si="27"/>
        <v>0.4702493241318097</v>
      </c>
      <c r="AQ26" s="7">
        <f t="shared" si="28"/>
        <v>0</v>
      </c>
    </row>
    <row r="27" spans="1:43" x14ac:dyDescent="0.2">
      <c r="A27">
        <f t="shared" si="3"/>
        <v>2010</v>
      </c>
      <c r="B27" s="2">
        <f t="shared" si="16"/>
        <v>15870.062330198214</v>
      </c>
      <c r="C27" s="2"/>
      <c r="D27" s="2">
        <f t="shared" si="17"/>
        <v>12346.843575790712</v>
      </c>
      <c r="E27" s="2">
        <f t="shared" si="18"/>
        <v>7226.6158662851431</v>
      </c>
      <c r="F27" s="2"/>
      <c r="G27" s="2">
        <f t="shared" si="19"/>
        <v>11329.467129114921</v>
      </c>
      <c r="H27" s="2">
        <f t="shared" si="20"/>
        <v>47361.955416971337</v>
      </c>
      <c r="I27" s="2">
        <f t="shared" ref="I27:I29" si="29">SUM(B27:H27)</f>
        <v>94134.944318360329</v>
      </c>
      <c r="J27" s="2">
        <f t="shared" si="21"/>
        <v>5165.4460035419906</v>
      </c>
      <c r="K27" s="6">
        <f t="shared" si="22"/>
        <v>5.8058616732490423E-2</v>
      </c>
      <c r="L27" s="7">
        <f t="shared" si="5"/>
        <v>1.0580586167324904</v>
      </c>
      <c r="N27">
        <f t="shared" si="6"/>
        <v>2010</v>
      </c>
      <c r="O27" s="2">
        <f t="shared" si="23"/>
        <v>5028.1729999020008</v>
      </c>
      <c r="P27" s="2"/>
      <c r="Q27" s="2"/>
      <c r="R27">
        <f t="shared" si="7"/>
        <v>2010</v>
      </c>
      <c r="S27" s="2">
        <f t="shared" si="8"/>
        <v>14864.427730217814</v>
      </c>
      <c r="T27" s="2"/>
      <c r="U27" s="2">
        <f t="shared" si="9"/>
        <v>11341.208975810312</v>
      </c>
      <c r="V27" s="2">
        <f t="shared" si="9"/>
        <v>6220.9812663047433</v>
      </c>
      <c r="W27" s="2"/>
      <c r="X27" s="2">
        <f t="shared" si="10"/>
        <v>10323.832529134521</v>
      </c>
      <c r="Y27" s="2">
        <f t="shared" si="10"/>
        <v>46356.320816990934</v>
      </c>
      <c r="Z27" s="2">
        <f t="shared" si="11"/>
        <v>89106.771318458326</v>
      </c>
      <c r="AA27" s="2">
        <f t="shared" si="24"/>
        <v>5096.0234966399876</v>
      </c>
      <c r="AB27" s="6">
        <f t="shared" si="25"/>
        <v>6.0659185030090934E-2</v>
      </c>
      <c r="AC27" s="7">
        <f t="shared" si="12"/>
        <v>1.060659185030091</v>
      </c>
      <c r="AD27" s="2">
        <f t="shared" si="13"/>
        <v>0</v>
      </c>
      <c r="AE27" s="2"/>
      <c r="AG27">
        <f t="shared" si="14"/>
        <v>2010</v>
      </c>
      <c r="AH27" s="6">
        <f t="shared" si="15"/>
        <v>0.16681591657152403</v>
      </c>
      <c r="AI27" s="6"/>
      <c r="AJ27" s="6">
        <f t="shared" si="15"/>
        <v>0.12727662340360207</v>
      </c>
      <c r="AK27" s="6">
        <f t="shared" si="15"/>
        <v>6.9814910519780851E-2</v>
      </c>
      <c r="AL27" s="6"/>
      <c r="AM27" s="6">
        <f t="shared" si="15"/>
        <v>0.11585912469253563</v>
      </c>
      <c r="AN27" s="6">
        <f t="shared" si="15"/>
        <v>0.52023342481255741</v>
      </c>
      <c r="AO27" s="20">
        <f t="shared" si="26"/>
        <v>1</v>
      </c>
      <c r="AP27" s="7">
        <f t="shared" si="27"/>
        <v>0.47976657518744253</v>
      </c>
      <c r="AQ27" s="7">
        <f t="shared" si="28"/>
        <v>0</v>
      </c>
    </row>
    <row r="28" spans="1:43" x14ac:dyDescent="0.2">
      <c r="A28">
        <f t="shared" si="3"/>
        <v>2011</v>
      </c>
      <c r="B28" s="2">
        <f t="shared" si="16"/>
        <v>15157.256956503106</v>
      </c>
      <c r="C28" s="2"/>
      <c r="D28" s="2">
        <f t="shared" si="17"/>
        <v>11101.909466420715</v>
      </c>
      <c r="E28" s="2">
        <f t="shared" si="18"/>
        <v>6046.7937908482099</v>
      </c>
      <c r="F28" s="2"/>
      <c r="G28" s="2">
        <f t="shared" si="19"/>
        <v>8820.6825128925357</v>
      </c>
      <c r="H28" s="2">
        <f t="shared" si="20"/>
        <v>49860.858670755457</v>
      </c>
      <c r="I28" s="2">
        <f t="shared" si="29"/>
        <v>90987.501397420026</v>
      </c>
      <c r="J28" s="2">
        <f t="shared" si="21"/>
        <v>-3147.4429209403024</v>
      </c>
      <c r="K28" s="6">
        <f t="shared" si="22"/>
        <v>-3.3435436157435709E-2</v>
      </c>
      <c r="L28" s="7">
        <f t="shared" si="5"/>
        <v>0.96656456384256428</v>
      </c>
      <c r="N28">
        <f t="shared" si="6"/>
        <v>2011</v>
      </c>
      <c r="O28" s="2">
        <f t="shared" si="23"/>
        <v>5179.0181898990613</v>
      </c>
      <c r="P28" s="2"/>
      <c r="Q28" s="2"/>
      <c r="R28">
        <f t="shared" si="7"/>
        <v>2011</v>
      </c>
      <c r="S28" s="2">
        <f t="shared" si="8"/>
        <v>14121.453318523294</v>
      </c>
      <c r="T28" s="2"/>
      <c r="U28" s="2">
        <f t="shared" si="9"/>
        <v>10066.105828440903</v>
      </c>
      <c r="V28" s="2">
        <f t="shared" si="9"/>
        <v>5010.9901528683977</v>
      </c>
      <c r="W28" s="2"/>
      <c r="X28" s="2">
        <f t="shared" si="10"/>
        <v>7784.8788749127234</v>
      </c>
      <c r="Y28" s="2">
        <f t="shared" si="10"/>
        <v>48825.055032775643</v>
      </c>
      <c r="Z28" s="2">
        <f t="shared" si="11"/>
        <v>85808.483207520971</v>
      </c>
      <c r="AA28" s="2">
        <f t="shared" si="24"/>
        <v>-3298.2881109373557</v>
      </c>
      <c r="AB28" s="6">
        <f t="shared" si="25"/>
        <v>-3.7015010892377832E-2</v>
      </c>
      <c r="AC28" s="7">
        <f t="shared" si="12"/>
        <v>0.9629849891076222</v>
      </c>
      <c r="AD28" s="2">
        <f t="shared" si="13"/>
        <v>0</v>
      </c>
      <c r="AE28" s="2"/>
      <c r="AG28">
        <f t="shared" si="14"/>
        <v>2011</v>
      </c>
      <c r="AH28" s="6">
        <f t="shared" si="15"/>
        <v>0.1645694317235708</v>
      </c>
      <c r="AI28" s="6"/>
      <c r="AJ28" s="6">
        <f t="shared" si="15"/>
        <v>0.1173089821911527</v>
      </c>
      <c r="AK28" s="6">
        <f t="shared" si="15"/>
        <v>5.8397374776450919E-2</v>
      </c>
      <c r="AL28" s="7"/>
      <c r="AM28" s="6">
        <f t="shared" si="15"/>
        <v>9.0723883978762507E-2</v>
      </c>
      <c r="AN28" s="6">
        <f t="shared" si="15"/>
        <v>0.569000327330063</v>
      </c>
      <c r="AO28" s="20">
        <f t="shared" si="26"/>
        <v>1</v>
      </c>
      <c r="AP28" s="7">
        <f t="shared" si="27"/>
        <v>0.43099967266993694</v>
      </c>
      <c r="AQ28" s="7">
        <f t="shared" si="28"/>
        <v>0</v>
      </c>
    </row>
    <row r="29" spans="1:43" x14ac:dyDescent="0.2">
      <c r="A29">
        <f t="shared" si="3"/>
        <v>2012</v>
      </c>
      <c r="B29" s="2">
        <f t="shared" si="16"/>
        <v>16355.467233513678</v>
      </c>
      <c r="C29" s="2"/>
      <c r="D29" s="2">
        <f t="shared" si="17"/>
        <v>11656.550549334564</v>
      </c>
      <c r="E29" s="2">
        <f t="shared" si="18"/>
        <v>5914.9727764458576</v>
      </c>
      <c r="F29" s="2"/>
      <c r="G29" s="2">
        <f t="shared" si="19"/>
        <v>9197.0559028218922</v>
      </c>
      <c r="H29" s="2">
        <f t="shared" si="20"/>
        <v>50802.469761603053</v>
      </c>
      <c r="I29" s="2">
        <f t="shared" si="29"/>
        <v>93926.516223719053</v>
      </c>
      <c r="J29" s="2">
        <f t="shared" si="21"/>
        <v>2939.014826299026</v>
      </c>
      <c r="K29" s="6">
        <f t="shared" si="22"/>
        <v>3.2301302719170644E-2</v>
      </c>
      <c r="L29" s="7">
        <f t="shared" si="5"/>
        <v>1.0323013027191705</v>
      </c>
      <c r="N29">
        <f t="shared" si="6"/>
        <v>2012</v>
      </c>
      <c r="O29" s="2">
        <f t="shared" si="23"/>
        <v>5272.2405173172447</v>
      </c>
      <c r="P29" s="2"/>
      <c r="Q29" s="2"/>
      <c r="R29">
        <f t="shared" si="7"/>
        <v>2012</v>
      </c>
      <c r="S29" s="2">
        <f t="shared" si="8"/>
        <v>15301.01913005023</v>
      </c>
      <c r="T29" s="2"/>
      <c r="U29" s="2">
        <f t="shared" si="9"/>
        <v>10602.102445871116</v>
      </c>
      <c r="V29" s="2">
        <f t="shared" si="9"/>
        <v>4860.5246729824084</v>
      </c>
      <c r="W29" s="2"/>
      <c r="X29" s="2">
        <f t="shared" si="10"/>
        <v>8142.6077993584431</v>
      </c>
      <c r="Y29" s="2">
        <f t="shared" si="10"/>
        <v>49748.021658139602</v>
      </c>
      <c r="Z29" s="2">
        <f t="shared" si="11"/>
        <v>88654.275706401793</v>
      </c>
      <c r="AA29" s="2">
        <f t="shared" si="24"/>
        <v>2845.7924988808227</v>
      </c>
      <c r="AB29" s="6">
        <f t="shared" si="25"/>
        <v>3.3164465709043016E-2</v>
      </c>
      <c r="AC29" s="7">
        <f t="shared" si="12"/>
        <v>1.0331644657090431</v>
      </c>
      <c r="AD29" s="2">
        <f t="shared" si="13"/>
        <v>0</v>
      </c>
      <c r="AE29" s="2"/>
      <c r="AG29">
        <f t="shared" si="14"/>
        <v>2012</v>
      </c>
      <c r="AH29" s="6">
        <f t="shared" si="15"/>
        <v>0.1725920042562068</v>
      </c>
      <c r="AI29" s="6"/>
      <c r="AJ29" s="6">
        <f t="shared" si="15"/>
        <v>0.11958929630176349</v>
      </c>
      <c r="AK29" s="6">
        <f t="shared" si="15"/>
        <v>5.4825609190910417E-2</v>
      </c>
      <c r="AL29" s="7"/>
      <c r="AM29" s="6">
        <f t="shared" si="15"/>
        <v>9.1846757919770122E-2</v>
      </c>
      <c r="AN29" s="6">
        <f t="shared" si="15"/>
        <v>0.56114633233134925</v>
      </c>
      <c r="AO29" s="20">
        <f t="shared" ref="AO29:AO34" si="30">SUM(AH29:AN29)</f>
        <v>1</v>
      </c>
      <c r="AP29" s="7">
        <f t="shared" si="27"/>
        <v>0.43885366766865086</v>
      </c>
      <c r="AQ29" s="7">
        <f t="shared" si="28"/>
        <v>0</v>
      </c>
    </row>
    <row r="30" spans="1:43" x14ac:dyDescent="0.2">
      <c r="A30">
        <f t="shared" si="3"/>
        <v>2013</v>
      </c>
      <c r="B30" s="2">
        <f t="shared" si="16"/>
        <v>20224.887086100396</v>
      </c>
      <c r="C30" s="2"/>
      <c r="D30" s="2">
        <f t="shared" si="17"/>
        <v>14312.838301926007</v>
      </c>
      <c r="E30" s="2">
        <f t="shared" si="18"/>
        <v>6689.0540549583902</v>
      </c>
      <c r="F30" s="2"/>
      <c r="G30" s="2">
        <f t="shared" si="19"/>
        <v>9367.2560123819512</v>
      </c>
      <c r="H30" s="2">
        <f t="shared" si="20"/>
        <v>48623.716368665649</v>
      </c>
      <c r="I30" s="2">
        <f t="shared" ref="I30:I31" si="31">SUM(B30:H30)</f>
        <v>99217.751824032399</v>
      </c>
      <c r="J30" s="2">
        <f t="shared" si="21"/>
        <v>5291.2356003133464</v>
      </c>
      <c r="K30" s="6">
        <f t="shared" si="22"/>
        <v>5.6333778926819844E-2</v>
      </c>
      <c r="L30" s="7">
        <f t="shared" si="5"/>
        <v>1.0563337789268199</v>
      </c>
      <c r="N30">
        <f t="shared" si="6"/>
        <v>2013</v>
      </c>
      <c r="O30" s="2">
        <f t="shared" si="23"/>
        <v>5333.1660914215818</v>
      </c>
      <c r="P30" s="2"/>
      <c r="Q30" s="2"/>
      <c r="R30">
        <f t="shared" si="7"/>
        <v>2013</v>
      </c>
      <c r="S30" s="2">
        <f t="shared" si="8"/>
        <v>19158.253867816078</v>
      </c>
      <c r="T30" s="2"/>
      <c r="U30" s="2">
        <f t="shared" si="9"/>
        <v>13246.205083641691</v>
      </c>
      <c r="V30" s="2">
        <f t="shared" si="9"/>
        <v>5622.4208366740741</v>
      </c>
      <c r="W30" s="2"/>
      <c r="X30" s="2">
        <f t="shared" si="10"/>
        <v>8300.6227940976351</v>
      </c>
      <c r="Y30" s="2">
        <f t="shared" si="10"/>
        <v>47557.083150381332</v>
      </c>
      <c r="Z30" s="2">
        <f t="shared" si="11"/>
        <v>93884.585732610809</v>
      </c>
      <c r="AA30" s="2">
        <f t="shared" si="24"/>
        <v>5230.3100262090156</v>
      </c>
      <c r="AB30" s="6">
        <f t="shared" si="25"/>
        <v>5.8996703594199361E-2</v>
      </c>
      <c r="AC30" s="7">
        <f t="shared" si="12"/>
        <v>1.0589967035941994</v>
      </c>
      <c r="AD30" s="2">
        <f t="shared" si="13"/>
        <v>0</v>
      </c>
      <c r="AE30" s="2"/>
      <c r="AG30">
        <f t="shared" si="14"/>
        <v>2013</v>
      </c>
      <c r="AH30" s="6">
        <f t="shared" si="15"/>
        <v>0.20406176070670415</v>
      </c>
      <c r="AI30" s="6"/>
      <c r="AJ30" s="6">
        <f t="shared" si="15"/>
        <v>0.14109030763971964</v>
      </c>
      <c r="AK30" s="6">
        <f t="shared" si="15"/>
        <v>5.9886516969751363E-2</v>
      </c>
      <c r="AL30" s="7"/>
      <c r="AM30" s="6">
        <f t="shared" si="15"/>
        <v>8.8413052359184174E-2</v>
      </c>
      <c r="AN30" s="6">
        <f t="shared" si="15"/>
        <v>0.50654836232464073</v>
      </c>
      <c r="AO30" s="20">
        <f t="shared" si="30"/>
        <v>1</v>
      </c>
      <c r="AP30" s="7">
        <f t="shared" si="27"/>
        <v>0.49345163767535927</v>
      </c>
      <c r="AQ30" s="7">
        <f t="shared" si="28"/>
        <v>0</v>
      </c>
    </row>
    <row r="31" spans="1:43" x14ac:dyDescent="0.2">
      <c r="A31">
        <f t="shared" si="3"/>
        <v>2014</v>
      </c>
      <c r="B31" s="2">
        <f t="shared" si="16"/>
        <v>21746.53396535803</v>
      </c>
      <c r="C31" s="2"/>
      <c r="D31" s="2">
        <f t="shared" si="17"/>
        <v>15047.688975016963</v>
      </c>
      <c r="E31" s="2">
        <f t="shared" si="18"/>
        <v>6036.7932523369536</v>
      </c>
      <c r="F31" s="2"/>
      <c r="G31" s="2">
        <f t="shared" si="19"/>
        <v>7948.6763876278956</v>
      </c>
      <c r="H31" s="2">
        <f t="shared" si="20"/>
        <v>50296.371139843301</v>
      </c>
      <c r="I31" s="2">
        <f t="shared" si="31"/>
        <v>101076.06372018314</v>
      </c>
      <c r="J31" s="2">
        <f t="shared" si="21"/>
        <v>1858.3118961507425</v>
      </c>
      <c r="K31" s="6">
        <f t="shared" si="22"/>
        <v>1.8729631159619006E-2</v>
      </c>
      <c r="L31" s="7">
        <f t="shared" si="5"/>
        <v>1.018729631159619</v>
      </c>
      <c r="N31">
        <f t="shared" si="6"/>
        <v>2014</v>
      </c>
      <c r="O31" s="2">
        <f t="shared" si="23"/>
        <v>5401.9639340009198</v>
      </c>
      <c r="P31" s="2"/>
      <c r="Q31" s="2"/>
      <c r="R31">
        <f t="shared" si="7"/>
        <v>2014</v>
      </c>
      <c r="S31" s="2">
        <f t="shared" si="8"/>
        <v>20666.141178557846</v>
      </c>
      <c r="T31" s="2"/>
      <c r="U31" s="2">
        <f t="shared" si="9"/>
        <v>13967.296188216778</v>
      </c>
      <c r="V31" s="2">
        <f t="shared" si="9"/>
        <v>4956.4004655367698</v>
      </c>
      <c r="W31" s="2"/>
      <c r="X31" s="2">
        <f t="shared" si="10"/>
        <v>6868.2836008277118</v>
      </c>
      <c r="Y31" s="2">
        <f t="shared" si="10"/>
        <v>49215.978353043116</v>
      </c>
      <c r="Z31" s="2">
        <f t="shared" si="11"/>
        <v>95674.099786182225</v>
      </c>
      <c r="AA31" s="2">
        <f t="shared" si="24"/>
        <v>1789.5140535714163</v>
      </c>
      <c r="AB31" s="6">
        <f t="shared" si="25"/>
        <v>1.906078659885729E-2</v>
      </c>
      <c r="AC31" s="7">
        <f t="shared" si="12"/>
        <v>1.0190607865988572</v>
      </c>
      <c r="AD31" s="2">
        <f t="shared" si="13"/>
        <v>0</v>
      </c>
      <c r="AE31" s="2"/>
      <c r="AG31">
        <f t="shared" si="14"/>
        <v>2014</v>
      </c>
      <c r="AH31" s="6">
        <f t="shared" si="15"/>
        <v>0.2160055984299166</v>
      </c>
      <c r="AI31" s="6"/>
      <c r="AJ31" s="6">
        <f t="shared" si="15"/>
        <v>0.14598826871046255</v>
      </c>
      <c r="AK31" s="6">
        <f t="shared" si="15"/>
        <v>5.1805038945896623E-2</v>
      </c>
      <c r="AL31" s="7"/>
      <c r="AM31" s="6">
        <f t="shared" si="15"/>
        <v>7.1788327417528178E-2</v>
      </c>
      <c r="AN31" s="6">
        <f t="shared" si="15"/>
        <v>0.51441276649619605</v>
      </c>
      <c r="AO31" s="20">
        <f t="shared" si="30"/>
        <v>1</v>
      </c>
      <c r="AP31" s="7">
        <f t="shared" si="27"/>
        <v>0.48558723350380395</v>
      </c>
      <c r="AQ31" s="7">
        <f t="shared" si="28"/>
        <v>0</v>
      </c>
    </row>
    <row r="32" spans="1:43" x14ac:dyDescent="0.2">
      <c r="A32">
        <f t="shared" si="3"/>
        <v>2015</v>
      </c>
      <c r="B32" s="2">
        <f t="shared" si="16"/>
        <v>20924.467943289819</v>
      </c>
      <c r="C32" s="2"/>
      <c r="D32" s="2">
        <f t="shared" si="17"/>
        <v>13763.373663868813</v>
      </c>
      <c r="E32" s="2">
        <f t="shared" si="18"/>
        <v>4769.0485279394798</v>
      </c>
      <c r="F32" s="2"/>
      <c r="G32" s="2">
        <f t="shared" si="19"/>
        <v>6568.1396074715412</v>
      </c>
      <c r="H32" s="2">
        <f t="shared" si="20"/>
        <v>49363.626288102241</v>
      </c>
      <c r="I32" s="2">
        <f t="shared" ref="I32:I34" si="32">SUM(B32:H32)</f>
        <v>95388.656030671889</v>
      </c>
      <c r="J32" s="2">
        <f t="shared" si="21"/>
        <v>-5687.4076895112521</v>
      </c>
      <c r="K32" s="6">
        <f t="shared" si="22"/>
        <v>-5.6268591001487282E-2</v>
      </c>
      <c r="L32" s="7">
        <f t="shared" si="5"/>
        <v>0.94373140899851271</v>
      </c>
      <c r="N32">
        <f t="shared" si="6"/>
        <v>2015</v>
      </c>
      <c r="O32" s="2">
        <f t="shared" si="23"/>
        <v>5425.7325753105233</v>
      </c>
      <c r="P32" s="2"/>
      <c r="Q32" s="2"/>
      <c r="R32">
        <f t="shared" si="7"/>
        <v>2015</v>
      </c>
      <c r="S32" s="2">
        <f t="shared" si="8"/>
        <v>19839.321428227715</v>
      </c>
      <c r="T32" s="2"/>
      <c r="U32" s="2">
        <f t="shared" si="9"/>
        <v>12678.227148806709</v>
      </c>
      <c r="V32" s="2">
        <f t="shared" si="9"/>
        <v>3683.902012877375</v>
      </c>
      <c r="W32" s="2"/>
      <c r="X32" s="2">
        <f t="shared" si="10"/>
        <v>5482.9930924094369</v>
      </c>
      <c r="Y32" s="2">
        <f t="shared" si="10"/>
        <v>48278.479773040133</v>
      </c>
      <c r="Z32" s="2">
        <f t="shared" si="11"/>
        <v>89962.923455361364</v>
      </c>
      <c r="AA32" s="2">
        <f t="shared" si="24"/>
        <v>-5711.176330820861</v>
      </c>
      <c r="AB32" s="6">
        <f t="shared" si="25"/>
        <v>-5.9694069174254204E-2</v>
      </c>
      <c r="AC32" s="7">
        <f t="shared" si="12"/>
        <v>0.94030593082574576</v>
      </c>
      <c r="AD32" s="2">
        <f t="shared" si="13"/>
        <v>0</v>
      </c>
      <c r="AE32" s="2"/>
      <c r="AG32">
        <f t="shared" si="14"/>
        <v>2015</v>
      </c>
      <c r="AH32" s="6">
        <f t="shared" si="15"/>
        <v>0.2205277537259199</v>
      </c>
      <c r="AI32" s="6"/>
      <c r="AJ32" s="6">
        <f t="shared" si="15"/>
        <v>0.14092724715751939</v>
      </c>
      <c r="AK32" s="6">
        <f t="shared" si="15"/>
        <v>4.0949114050359732E-2</v>
      </c>
      <c r="AL32" s="7"/>
      <c r="AM32" s="6">
        <f t="shared" si="15"/>
        <v>6.0947253399674578E-2</v>
      </c>
      <c r="AN32" s="6">
        <f t="shared" si="15"/>
        <v>0.53664863166652643</v>
      </c>
      <c r="AO32" s="20">
        <f t="shared" si="30"/>
        <v>1</v>
      </c>
      <c r="AP32" s="7">
        <f t="shared" si="27"/>
        <v>0.46335136833347357</v>
      </c>
      <c r="AQ32" s="7">
        <f t="shared" si="28"/>
        <v>0</v>
      </c>
    </row>
    <row r="33" spans="1:43" x14ac:dyDescent="0.2">
      <c r="A33">
        <f t="shared" si="3"/>
        <v>2016</v>
      </c>
      <c r="B33" s="2">
        <f t="shared" si="16"/>
        <v>22184.329221044234</v>
      </c>
      <c r="C33" s="2"/>
      <c r="D33" s="2">
        <f t="shared" si="17"/>
        <v>14081.706894179611</v>
      </c>
      <c r="E33" s="2">
        <f t="shared" si="18"/>
        <v>4353.2670086171938</v>
      </c>
      <c r="F33" s="2"/>
      <c r="G33" s="2">
        <f t="shared" si="19"/>
        <v>5737.9522712064754</v>
      </c>
      <c r="H33" s="2">
        <f t="shared" si="20"/>
        <v>49485.44176736613</v>
      </c>
      <c r="I33" s="2">
        <f t="shared" si="32"/>
        <v>95842.697162413649</v>
      </c>
      <c r="J33" s="2">
        <f t="shared" si="21"/>
        <v>454.04113174176018</v>
      </c>
      <c r="K33" s="6">
        <f t="shared" si="22"/>
        <v>4.7599070018951185E-3</v>
      </c>
      <c r="L33" s="7">
        <f t="shared" si="5"/>
        <v>1.0047599070018951</v>
      </c>
      <c r="N33">
        <f t="shared" si="6"/>
        <v>2016</v>
      </c>
      <c r="O33" s="2">
        <f t="shared" si="23"/>
        <v>5517.9700290908013</v>
      </c>
      <c r="P33" s="2"/>
      <c r="Q33" s="2"/>
      <c r="R33">
        <f t="shared" si="7"/>
        <v>2016</v>
      </c>
      <c r="S33" s="2">
        <f t="shared" si="8"/>
        <v>21080.735215226076</v>
      </c>
      <c r="T33" s="2"/>
      <c r="U33" s="2">
        <f t="shared" si="9"/>
        <v>12978.112888361451</v>
      </c>
      <c r="V33" s="2">
        <f t="shared" si="9"/>
        <v>3249.6730027990334</v>
      </c>
      <c r="W33" s="2"/>
      <c r="X33" s="2">
        <f t="shared" si="10"/>
        <v>4634.358265388315</v>
      </c>
      <c r="Y33" s="2">
        <f t="shared" si="10"/>
        <v>48381.847761547971</v>
      </c>
      <c r="Z33" s="2">
        <f t="shared" si="11"/>
        <v>90324.727133322856</v>
      </c>
      <c r="AA33" s="2">
        <f t="shared" si="24"/>
        <v>361.80367796149221</v>
      </c>
      <c r="AB33" s="6">
        <f t="shared" si="25"/>
        <v>4.0216976512664725E-3</v>
      </c>
      <c r="AC33" s="7">
        <f t="shared" si="12"/>
        <v>1.0040216976512664</v>
      </c>
      <c r="AD33" s="2">
        <f t="shared" si="13"/>
        <v>0</v>
      </c>
      <c r="AE33" s="2"/>
      <c r="AG33">
        <f t="shared" si="14"/>
        <v>2016</v>
      </c>
      <c r="AH33" s="6">
        <f t="shared" si="15"/>
        <v>0.23338830776770661</v>
      </c>
      <c r="AI33" s="6"/>
      <c r="AJ33" s="6">
        <f t="shared" si="15"/>
        <v>0.14368283525734038</v>
      </c>
      <c r="AK33" s="6">
        <f t="shared" si="15"/>
        <v>3.5977667532860497E-2</v>
      </c>
      <c r="AL33" s="7"/>
      <c r="AM33" s="6">
        <f t="shared" si="15"/>
        <v>5.1307747196931132E-2</v>
      </c>
      <c r="AN33" s="6">
        <f t="shared" si="15"/>
        <v>0.53564344224516125</v>
      </c>
      <c r="AO33" s="20">
        <f t="shared" si="30"/>
        <v>0.99999999999999978</v>
      </c>
      <c r="AP33" s="7">
        <f t="shared" si="27"/>
        <v>0.46435655775483858</v>
      </c>
      <c r="AQ33" s="7">
        <f t="shared" si="28"/>
        <v>0</v>
      </c>
    </row>
    <row r="34" spans="1:43" x14ac:dyDescent="0.2">
      <c r="A34">
        <f t="shared" si="3"/>
        <v>2017</v>
      </c>
      <c r="B34" s="2">
        <f t="shared" si="16"/>
        <v>25648.930536365562</v>
      </c>
      <c r="C34" s="2"/>
      <c r="D34" s="2">
        <f t="shared" si="17"/>
        <v>15521.823014480295</v>
      </c>
      <c r="E34" s="2">
        <f t="shared" si="18"/>
        <v>3772.870356249678</v>
      </c>
      <c r="F34" s="2"/>
      <c r="G34" s="2">
        <f t="shared" si="19"/>
        <v>5904.1724301047134</v>
      </c>
      <c r="H34" s="2">
        <f t="shared" si="20"/>
        <v>50055.859694097533</v>
      </c>
      <c r="I34" s="2">
        <f t="shared" si="32"/>
        <v>100903.65603129778</v>
      </c>
      <c r="J34" s="2">
        <f t="shared" si="21"/>
        <v>5060.9588688841322</v>
      </c>
      <c r="K34" s="6">
        <f t="shared" si="22"/>
        <v>5.2804846052150481E-2</v>
      </c>
      <c r="L34" s="7">
        <f t="shared" si="5"/>
        <v>1.0528048460521504</v>
      </c>
      <c r="N34">
        <f t="shared" si="6"/>
        <v>2017</v>
      </c>
      <c r="O34" s="2">
        <f t="shared" si="23"/>
        <v>5641.0207607395259</v>
      </c>
      <c r="P34" s="2"/>
      <c r="Q34" s="2"/>
      <c r="R34">
        <f t="shared" si="7"/>
        <v>2017</v>
      </c>
      <c r="S34" s="2">
        <f t="shared" si="8"/>
        <v>24520.726384217658</v>
      </c>
      <c r="T34" s="2"/>
      <c r="U34" s="2">
        <f t="shared" si="9"/>
        <v>14393.618862332389</v>
      </c>
      <c r="V34" s="2">
        <f t="shared" si="9"/>
        <v>2644.6662041017726</v>
      </c>
      <c r="W34" s="2"/>
      <c r="X34" s="2">
        <f t="shared" si="10"/>
        <v>4775.9682779568084</v>
      </c>
      <c r="Y34" s="2">
        <f t="shared" si="10"/>
        <v>48927.655541949629</v>
      </c>
      <c r="Z34" s="2">
        <f t="shared" si="11"/>
        <v>95262.635270558254</v>
      </c>
      <c r="AA34" s="2">
        <f t="shared" si="24"/>
        <v>4937.9081372353976</v>
      </c>
      <c r="AB34" s="6">
        <f t="shared" si="25"/>
        <v>5.4668398056125327E-2</v>
      </c>
      <c r="AC34" s="7">
        <f t="shared" si="12"/>
        <v>1.0546683980561253</v>
      </c>
      <c r="AD34" s="2">
        <f t="shared" si="13"/>
        <v>0</v>
      </c>
      <c r="AE34" s="2"/>
      <c r="AG34">
        <f t="shared" si="14"/>
        <v>2017</v>
      </c>
      <c r="AH34" s="6">
        <f t="shared" si="15"/>
        <v>0.25740130235296987</v>
      </c>
      <c r="AI34" s="6"/>
      <c r="AJ34" s="6">
        <f t="shared" si="15"/>
        <v>0.15109406559510602</v>
      </c>
      <c r="AK34" s="6">
        <f t="shared" si="15"/>
        <v>2.776184173984456E-2</v>
      </c>
      <c r="AL34" s="7"/>
      <c r="AM34" s="6">
        <f t="shared" si="15"/>
        <v>5.0134748680764903E-2</v>
      </c>
      <c r="AN34" s="6">
        <f t="shared" si="15"/>
        <v>0.51360804163131468</v>
      </c>
      <c r="AO34" s="20">
        <f t="shared" si="30"/>
        <v>1</v>
      </c>
      <c r="AP34" s="7">
        <f t="shared" si="27"/>
        <v>0.48639195836868537</v>
      </c>
      <c r="AQ34" s="7">
        <f t="shared" si="28"/>
        <v>0</v>
      </c>
    </row>
    <row r="35" spans="1:43" x14ac:dyDescent="0.2">
      <c r="A35">
        <f t="shared" si="3"/>
        <v>2018</v>
      </c>
      <c r="B35" s="2">
        <f t="shared" si="16"/>
        <v>23417.293696927863</v>
      </c>
      <c r="C35" s="2"/>
      <c r="D35" s="2">
        <f t="shared" si="17"/>
        <v>13055.012308135478</v>
      </c>
      <c r="E35" s="2">
        <f t="shared" si="18"/>
        <v>2396.0675809162062</v>
      </c>
      <c r="F35" s="2"/>
      <c r="G35" s="2">
        <f t="shared" si="19"/>
        <v>4083.452877653071</v>
      </c>
      <c r="H35" s="2">
        <f t="shared" si="20"/>
        <v>48878.72788640768</v>
      </c>
      <c r="I35" s="2">
        <f t="shared" ref="I35" si="33">SUM(B35:H35)</f>
        <v>91830.5543500403</v>
      </c>
      <c r="J35" s="2">
        <f t="shared" ref="J35" si="34">I35-I34</f>
        <v>-9073.1016812574817</v>
      </c>
      <c r="K35" s="6">
        <f t="shared" ref="K35" si="35">(J35/I34)</f>
        <v>-8.9918463196648035E-2</v>
      </c>
      <c r="L35" s="7">
        <f t="shared" ref="L35" si="36">K35+1</f>
        <v>0.91008153680335191</v>
      </c>
      <c r="N35">
        <f t="shared" ref="N35" si="37">A35</f>
        <v>2018</v>
      </c>
      <c r="O35" s="2">
        <f t="shared" si="23"/>
        <v>5765.6238643098659</v>
      </c>
      <c r="P35" s="2"/>
      <c r="Q35" s="2"/>
      <c r="R35">
        <f t="shared" ref="R35" si="38">A35</f>
        <v>2018</v>
      </c>
      <c r="S35" s="2">
        <f t="shared" ref="S35" si="39">B35-($O35/5)</f>
        <v>22264.168924065889</v>
      </c>
      <c r="T35" s="2"/>
      <c r="U35" s="2">
        <f t="shared" ref="U35" si="40">D35-($O35/5)</f>
        <v>11901.887535273505</v>
      </c>
      <c r="V35" s="2">
        <f t="shared" ref="V35" si="41">E35-($O35/5)</f>
        <v>1242.942808054233</v>
      </c>
      <c r="W35" s="2"/>
      <c r="X35" s="2">
        <f t="shared" ref="X35" si="42">G35-($O35/5)</f>
        <v>2930.3281047910978</v>
      </c>
      <c r="Y35" s="2">
        <f t="shared" ref="Y35" si="43">H35-($O35/5)</f>
        <v>47725.603113545709</v>
      </c>
      <c r="Z35" s="2">
        <f t="shared" ref="Z35" si="44">SUM(S35:Y35)</f>
        <v>86064.930485730438</v>
      </c>
      <c r="AA35" s="2">
        <f t="shared" ref="AA35" si="45">Z35-Z34</f>
        <v>-9197.7047848278162</v>
      </c>
      <c r="AB35" s="6">
        <f t="shared" ref="AB35" si="46">(AA35/Z34)</f>
        <v>-9.6551021905967011E-2</v>
      </c>
      <c r="AC35" s="7">
        <f t="shared" ref="AC35" si="47">AB35+1</f>
        <v>0.90344897809403302</v>
      </c>
      <c r="AD35" s="2">
        <f t="shared" ref="AD35" si="48">Z35-(I35-O35)</f>
        <v>0</v>
      </c>
      <c r="AE35" s="2"/>
      <c r="AG35">
        <f t="shared" ref="AG35" si="49">A35</f>
        <v>2018</v>
      </c>
      <c r="AH35" s="6">
        <f t="shared" ref="AH35" si="50">S35/$Z35</f>
        <v>0.25869037247125048</v>
      </c>
      <c r="AI35" s="6"/>
      <c r="AJ35" s="6">
        <f t="shared" ref="AJ35" si="51">U35/$Z35</f>
        <v>0.13828963165486827</v>
      </c>
      <c r="AK35" s="6">
        <f t="shared" ref="AK35" si="52">V35/$Z35</f>
        <v>1.444191961858742E-2</v>
      </c>
      <c r="AL35" s="7"/>
      <c r="AM35" s="6">
        <f t="shared" ref="AM35" si="53">X35/$Z35</f>
        <v>3.4047876274959012E-2</v>
      </c>
      <c r="AN35" s="6">
        <f t="shared" ref="AN35" si="54">Y35/$Z35</f>
        <v>0.5545301999803347</v>
      </c>
      <c r="AO35" s="20">
        <f t="shared" ref="AO35" si="55">SUM(AH35:AN35)</f>
        <v>1</v>
      </c>
      <c r="AP35" s="7">
        <f t="shared" si="27"/>
        <v>0.44546980001966524</v>
      </c>
      <c r="AQ35" s="7">
        <f t="shared" si="28"/>
        <v>0</v>
      </c>
    </row>
    <row r="36" spans="1:43" x14ac:dyDescent="0.2">
      <c r="A36">
        <f t="shared" ref="A36:A37" si="56">A16</f>
        <v>2019</v>
      </c>
      <c r="B36" s="2">
        <f t="shared" ref="B36:B37" si="57">S35*(1+(B16/100))</f>
        <v>29267.585900820053</v>
      </c>
      <c r="C36" s="2"/>
      <c r="D36" s="2">
        <f t="shared" ref="D36:E36" si="58">U35*(1+(D16/100))</f>
        <v>15595.233667669438</v>
      </c>
      <c r="E36" s="2">
        <f t="shared" si="58"/>
        <v>1583.1039381056671</v>
      </c>
      <c r="F36" s="2"/>
      <c r="G36" s="2">
        <f t="shared" ref="G36:H36" si="59">X35*(1+(G16/100))</f>
        <v>3560.5830735695667</v>
      </c>
      <c r="H36" s="2">
        <f t="shared" si="59"/>
        <v>51884.412168860079</v>
      </c>
      <c r="I36" s="2">
        <f t="shared" ref="I36:I37" si="60">SUM(B36:H36)</f>
        <v>101890.9187490248</v>
      </c>
      <c r="J36" s="2">
        <f t="shared" ref="J36:J37" si="61">I36-I35</f>
        <v>10060.3643989845</v>
      </c>
      <c r="K36" s="6">
        <f t="shared" ref="K36:K37" si="62">(J36/I35)</f>
        <v>0.10955356275686128</v>
      </c>
      <c r="L36" s="7">
        <f t="shared" ref="L36:L37" si="63">K36+1</f>
        <v>1.1095535627568613</v>
      </c>
      <c r="N36">
        <f t="shared" ref="N36:N37" si="64">A36</f>
        <v>2019</v>
      </c>
      <c r="O36" s="2">
        <f t="shared" ref="O36:O37" si="65">O35*(1+O16)</f>
        <v>5897.4431869990631</v>
      </c>
      <c r="P36" s="2"/>
      <c r="Q36" s="2"/>
      <c r="R36">
        <f t="shared" ref="R36:R37" si="66">A36</f>
        <v>2019</v>
      </c>
      <c r="S36" s="2">
        <f t="shared" ref="S36" si="67">B36-($O36/5)</f>
        <v>28088.097263420241</v>
      </c>
      <c r="T36" s="2"/>
      <c r="U36" s="2">
        <f t="shared" ref="U36" si="68">D36-($O36/5)</f>
        <v>14415.745030269625</v>
      </c>
      <c r="V36" s="2">
        <f t="shared" ref="V36" si="69">E36-($O36/5)</f>
        <v>403.61530070585445</v>
      </c>
      <c r="W36" s="2"/>
      <c r="X36" s="2">
        <f t="shared" ref="X36" si="70">G36-($O36/5)</f>
        <v>2381.0944361697539</v>
      </c>
      <c r="Y36" s="2">
        <f t="shared" ref="Y36" si="71">H36-($O36/5)</f>
        <v>50704.923531460263</v>
      </c>
      <c r="Z36" s="2">
        <f t="shared" ref="Z36:Z37" si="72">SUM(S36:Y36)</f>
        <v>95993.475562025735</v>
      </c>
      <c r="AA36" s="2">
        <f t="shared" ref="AA36:AA37" si="73">Z36-Z35</f>
        <v>9928.5450762952969</v>
      </c>
      <c r="AB36" s="6">
        <f t="shared" ref="AB36:AB37" si="74">(AA36/Z35)</f>
        <v>0.11536110027929958</v>
      </c>
      <c r="AC36" s="7">
        <f t="shared" ref="AC36:AC37" si="75">AB36+1</f>
        <v>1.1153611002792996</v>
      </c>
      <c r="AD36" s="2">
        <f t="shared" ref="AD36:AD37" si="76">Z36-(I36-O36)</f>
        <v>0</v>
      </c>
      <c r="AE36" s="2"/>
      <c r="AG36">
        <f t="shared" ref="AG36:AG37" si="77">A36</f>
        <v>2019</v>
      </c>
      <c r="AH36" s="6">
        <f t="shared" ref="AH36:AH37" si="78">S36/$Z36</f>
        <v>0.29260423272487146</v>
      </c>
      <c r="AI36" s="6"/>
      <c r="AJ36" s="6">
        <f t="shared" ref="AJ36:AJ37" si="79">U36/$Z36</f>
        <v>0.15017421700660227</v>
      </c>
      <c r="AK36" s="6">
        <f t="shared" ref="AK36:AK37" si="80">V36/$Z36</f>
        <v>4.2046118066124223E-3</v>
      </c>
      <c r="AL36" s="7"/>
      <c r="AM36" s="6">
        <f t="shared" ref="AM36:AM37" si="81">X36/$Z36</f>
        <v>2.480475284626215E-2</v>
      </c>
      <c r="AN36" s="6">
        <f t="shared" ref="AN36:AN37" si="82">Y36/$Z36</f>
        <v>0.52821218561565175</v>
      </c>
      <c r="AO36" s="20">
        <f t="shared" ref="AO36:AO37" si="83">SUM(AH36:AN36)</f>
        <v>1</v>
      </c>
      <c r="AP36" s="7">
        <f t="shared" ref="AP36:AP37" si="84">SUM(AH36:AM36)</f>
        <v>0.4717878143843483</v>
      </c>
      <c r="AQ36" s="7">
        <f t="shared" ref="AQ36:AQ37" si="85">AO36-(AP36+AN36)</f>
        <v>0</v>
      </c>
    </row>
    <row r="37" spans="1:43" x14ac:dyDescent="0.2">
      <c r="A37">
        <f t="shared" si="56"/>
        <v>2020</v>
      </c>
      <c r="B37" s="2">
        <f t="shared" si="57"/>
        <v>33247.880730710538</v>
      </c>
      <c r="C37" s="2"/>
      <c r="D37" s="2">
        <f t="shared" ref="D37:E37" si="86">U36*(1+(D17/100))</f>
        <v>17045.176923790805</v>
      </c>
      <c r="E37" s="2">
        <f t="shared" si="86"/>
        <v>480.74618467074328</v>
      </c>
      <c r="F37" s="2"/>
      <c r="G37" s="2">
        <f t="shared" ref="G37:H37" si="87">X36*(1+(G17/100))</f>
        <v>2649.6818885697021</v>
      </c>
      <c r="H37" s="2">
        <f t="shared" si="87"/>
        <v>54619.343628088995</v>
      </c>
      <c r="I37" s="2">
        <f t="shared" si="60"/>
        <v>108042.82935583079</v>
      </c>
      <c r="J37" s="2">
        <f t="shared" si="61"/>
        <v>6151.9106068059918</v>
      </c>
      <c r="K37" s="6">
        <f t="shared" si="62"/>
        <v>6.0377418148120011E-2</v>
      </c>
      <c r="L37" s="7">
        <f t="shared" si="63"/>
        <v>1.06037741814812</v>
      </c>
      <c r="N37">
        <f t="shared" si="64"/>
        <v>2020</v>
      </c>
      <c r="O37" s="2">
        <f t="shared" si="65"/>
        <v>5897.4431869990631</v>
      </c>
      <c r="P37" s="2"/>
      <c r="Q37" s="2"/>
      <c r="R37">
        <f t="shared" si="66"/>
        <v>2020</v>
      </c>
      <c r="S37" s="2">
        <f>B37-(($O37-$E37)/4)</f>
        <v>31893.706480128458</v>
      </c>
      <c r="T37" s="2"/>
      <c r="U37" s="2">
        <f>D37-(($O37-$E37)/4)</f>
        <v>15691.002673208724</v>
      </c>
      <c r="V37" s="2">
        <f>E37-E37</f>
        <v>0</v>
      </c>
      <c r="W37" s="2"/>
      <c r="X37" s="2">
        <f>G37-(($O37-$E37)/4)</f>
        <v>1295.507637987622</v>
      </c>
      <c r="Y37" s="2">
        <f>H37-(($O37-$E37)/4)</f>
        <v>53265.169377506914</v>
      </c>
      <c r="Z37" s="2">
        <f t="shared" si="72"/>
        <v>102145.38616883173</v>
      </c>
      <c r="AA37" s="2">
        <f t="shared" si="73"/>
        <v>6151.9106068059918</v>
      </c>
      <c r="AB37" s="6">
        <f t="shared" si="74"/>
        <v>6.4086757675848122E-2</v>
      </c>
      <c r="AC37" s="7">
        <f t="shared" si="75"/>
        <v>1.0640867576758481</v>
      </c>
      <c r="AD37" s="2">
        <f t="shared" si="76"/>
        <v>0</v>
      </c>
      <c r="AE37" s="2"/>
      <c r="AG37">
        <f t="shared" si="77"/>
        <v>2020</v>
      </c>
      <c r="AH37" s="6">
        <f t="shared" si="78"/>
        <v>0.31223834650164933</v>
      </c>
      <c r="AI37" s="6"/>
      <c r="AJ37" s="6">
        <f t="shared" si="79"/>
        <v>0.15361440454367403</v>
      </c>
      <c r="AK37" s="6">
        <f t="shared" si="80"/>
        <v>0</v>
      </c>
      <c r="AL37" s="7"/>
      <c r="AM37" s="6">
        <f t="shared" si="81"/>
        <v>1.2682977534064369E-2</v>
      </c>
      <c r="AN37" s="6">
        <f t="shared" si="82"/>
        <v>0.52146427142061225</v>
      </c>
      <c r="AO37" s="20">
        <f t="shared" si="83"/>
        <v>1</v>
      </c>
      <c r="AP37" s="7">
        <f t="shared" si="84"/>
        <v>0.47853572857938775</v>
      </c>
      <c r="AQ37" s="7">
        <f t="shared" si="85"/>
        <v>0</v>
      </c>
    </row>
    <row r="38" spans="1:43" x14ac:dyDescent="0.2">
      <c r="A38" s="9" t="s">
        <v>44</v>
      </c>
      <c r="B38" s="10">
        <f>S37</f>
        <v>31893.706480128458</v>
      </c>
      <c r="C38" s="10"/>
      <c r="D38" s="10">
        <f>U37</f>
        <v>15691.002673208724</v>
      </c>
      <c r="E38" s="10">
        <f>V37</f>
        <v>0</v>
      </c>
      <c r="F38" s="10"/>
      <c r="G38" s="10">
        <f>X37</f>
        <v>1295.507637987622</v>
      </c>
      <c r="H38" s="10">
        <f>Y37</f>
        <v>53265.169377506914</v>
      </c>
      <c r="I38" s="10">
        <f>SUM(B38:H38)</f>
        <v>102145.38616883173</v>
      </c>
      <c r="J38" s="10"/>
      <c r="K38" s="10"/>
      <c r="N38" t="s">
        <v>75</v>
      </c>
      <c r="O38" s="2">
        <f>O37</f>
        <v>5897.4431869990631</v>
      </c>
      <c r="P38" s="2"/>
      <c r="R38" s="9" t="s">
        <v>44</v>
      </c>
      <c r="S38" s="10">
        <f>S37</f>
        <v>31893.706480128458</v>
      </c>
      <c r="T38" s="10"/>
      <c r="U38" s="10">
        <f>U37</f>
        <v>15691.002673208724</v>
      </c>
      <c r="V38" s="10">
        <f>V37</f>
        <v>0</v>
      </c>
      <c r="W38" s="10"/>
      <c r="X38" s="10">
        <f>X37</f>
        <v>1295.507637987622</v>
      </c>
      <c r="Y38" s="10">
        <f>Y37</f>
        <v>53265.169377506914</v>
      </c>
      <c r="Z38" s="10">
        <f>Z37</f>
        <v>102145.38616883173</v>
      </c>
      <c r="AA38" s="40"/>
      <c r="AB38" s="40"/>
      <c r="AC38" s="40"/>
      <c r="AD38" s="40"/>
      <c r="AE38" s="40"/>
      <c r="AG38" s="68" t="s">
        <v>169</v>
      </c>
      <c r="AH38" s="69">
        <f>AH37</f>
        <v>0.31223834650164933</v>
      </c>
      <c r="AI38" s="68"/>
      <c r="AJ38" s="69">
        <f>AJ37</f>
        <v>0.15361440454367403</v>
      </c>
      <c r="AK38" s="68"/>
      <c r="AL38" s="68"/>
      <c r="AM38" s="69">
        <f>AM37</f>
        <v>1.2682977534064369E-2</v>
      </c>
      <c r="AN38" s="69">
        <f>AN37</f>
        <v>0.52146427142061225</v>
      </c>
      <c r="AO38" s="69">
        <f>AO35</f>
        <v>1</v>
      </c>
      <c r="AP38" s="69">
        <f>AP37</f>
        <v>0.47853572857938775</v>
      </c>
      <c r="AQ38" s="69">
        <f>AQ35</f>
        <v>0</v>
      </c>
    </row>
    <row r="39" spans="1:43" x14ac:dyDescent="0.2">
      <c r="A39" s="11" t="s">
        <v>88</v>
      </c>
      <c r="I39" s="6">
        <f>(Z38-Z23)/Z23</f>
        <v>2.1453861688317265E-2</v>
      </c>
      <c r="K39" s="6"/>
      <c r="N39" t="s">
        <v>36</v>
      </c>
      <c r="O39" s="2">
        <f>SUM(O24:O37)</f>
        <v>74965.920328989669</v>
      </c>
      <c r="P39" s="2"/>
      <c r="AJ39" s="7"/>
    </row>
    <row r="40" spans="1:43" x14ac:dyDescent="0.2">
      <c r="A40" s="1" t="s">
        <v>89</v>
      </c>
      <c r="I40" s="12">
        <f>STDEV(AC24:AC37)</f>
        <v>9.8186873514749584E-2</v>
      </c>
      <c r="AK40" s="70"/>
      <c r="AL40" s="70"/>
      <c r="AM40" s="71" t="s">
        <v>170</v>
      </c>
      <c r="AN40" s="70" t="b">
        <f>IF((AN37=AN38),TRUE,FALSE)</f>
        <v>1</v>
      </c>
      <c r="AO40" s="70"/>
      <c r="AP40" s="72" t="b">
        <f>IF(((SUM(AH37:AM37))=AP38),TRUE,FALSE)</f>
        <v>1</v>
      </c>
      <c r="AQ40" s="7"/>
    </row>
    <row r="41" spans="1:43" x14ac:dyDescent="0.2">
      <c r="A41" s="1" t="s">
        <v>90</v>
      </c>
      <c r="I41" s="13">
        <f>((1+I39)^(1/I48))-1</f>
        <v>1.5173619618200629E-3</v>
      </c>
    </row>
    <row r="42" spans="1:43" x14ac:dyDescent="0.2">
      <c r="A42" s="1" t="s">
        <v>48</v>
      </c>
      <c r="I42" s="27">
        <f>J25</f>
        <v>-26923.604794107508</v>
      </c>
      <c r="O42" s="2"/>
      <c r="P42" s="2"/>
    </row>
    <row r="43" spans="1:43" x14ac:dyDescent="0.2">
      <c r="A43" s="1" t="s">
        <v>49</v>
      </c>
      <c r="I43" s="28">
        <f>K25</f>
        <v>-0.25116931362721284</v>
      </c>
    </row>
    <row r="44" spans="1:43" x14ac:dyDescent="0.2">
      <c r="A44" s="1" t="s">
        <v>77</v>
      </c>
      <c r="I44" s="2">
        <f>O39</f>
        <v>74965.920328989669</v>
      </c>
    </row>
    <row r="45" spans="1:43" x14ac:dyDescent="0.2">
      <c r="A45" s="3" t="s">
        <v>50</v>
      </c>
      <c r="I45" s="29">
        <f>I38-Z38</f>
        <v>0</v>
      </c>
    </row>
    <row r="46" spans="1:43" x14ac:dyDescent="0.2">
      <c r="A46" s="3" t="s">
        <v>134</v>
      </c>
      <c r="I46" s="29">
        <f>((SUM(AA24:AA37)))-(I38-I23)</f>
        <v>0</v>
      </c>
    </row>
    <row r="47" spans="1:43" x14ac:dyDescent="0.2">
      <c r="A47" s="3" t="s">
        <v>135</v>
      </c>
      <c r="I47" s="29">
        <f>(SUM(O24:O37))-I44</f>
        <v>0</v>
      </c>
    </row>
    <row r="48" spans="1:43" x14ac:dyDescent="0.2">
      <c r="A48" s="3" t="s">
        <v>139</v>
      </c>
      <c r="I48" s="3">
        <f>COUNTA(I24:I37)</f>
        <v>14</v>
      </c>
    </row>
    <row r="49" spans="1:9" x14ac:dyDescent="0.2">
      <c r="A49" s="80" t="s">
        <v>91</v>
      </c>
      <c r="B49" s="2"/>
      <c r="C49" s="2"/>
      <c r="D49" s="2"/>
      <c r="E49" s="2"/>
      <c r="G49" s="2"/>
      <c r="H49" s="2"/>
      <c r="I49" s="81">
        <f>AP38</f>
        <v>0.47853572857938775</v>
      </c>
    </row>
    <row r="50" spans="1:9" x14ac:dyDescent="0.2">
      <c r="A50" s="80" t="s">
        <v>174</v>
      </c>
      <c r="B50" s="2"/>
      <c r="D50" s="2"/>
      <c r="E50" s="2"/>
      <c r="G50" s="2"/>
      <c r="H50" s="2"/>
      <c r="I50" s="81">
        <f>AN38</f>
        <v>0.52146427142061225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2" ma:contentTypeDescription="Create a new document." ma:contentTypeScope="" ma:versionID="3905df52c42a36801a6735ed7bd84f1b">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45be3c20d3bd38be271e46a713ea7854"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79FEBE-949C-413B-989B-A826B8AA2E09}">
  <ds:schemaRefs>
    <ds:schemaRef ds:uri="http://purl.org/dc/terms/"/>
    <ds:schemaRef ds:uri="http://schemas.microsoft.com/office/infopath/2007/PartnerControls"/>
    <ds:schemaRef ds:uri="http://purl.org/dc/elements/1.1/"/>
    <ds:schemaRef ds:uri="http://www.w3.org/XML/1998/namespace"/>
    <ds:schemaRef ds:uri="http://purl.org/dc/dcmitype/"/>
    <ds:schemaRef ds:uri="http://schemas.openxmlformats.org/package/2006/metadata/core-properties"/>
    <ds:schemaRef ds:uri="http://schemas.microsoft.com/office/2006/metadata/properties"/>
    <ds:schemaRef ds:uri="http://schemas.microsoft.com/office/2006/documentManagement/types"/>
    <ds:schemaRef ds:uri="02ddc3e8-f108-40d9-a153-651a80800533"/>
    <ds:schemaRef ds:uri="82c3c91a-b27f-479b-a1cf-20b7ccb02467"/>
  </ds:schemaRefs>
</ds:datastoreItem>
</file>

<file path=customXml/itemProps2.xml><?xml version="1.0" encoding="utf-8"?>
<ds:datastoreItem xmlns:ds="http://schemas.openxmlformats.org/officeDocument/2006/customXml" ds:itemID="{682798FC-CAC2-4423-BEFB-5E220BEBAF62}">
  <ds:schemaRefs>
    <ds:schemaRef ds:uri="http://schemas.microsoft.com/sharepoint/v3/contenttype/forms"/>
  </ds:schemaRefs>
</ds:datastoreItem>
</file>

<file path=customXml/itemProps3.xml><?xml version="1.0" encoding="utf-8"?>
<ds:datastoreItem xmlns:ds="http://schemas.openxmlformats.org/officeDocument/2006/customXml" ds:itemID="{C08B53DE-6CC7-4D54-8192-AB64540653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Notes</vt:lpstr>
      <vt:lpstr>Summary</vt:lpstr>
      <vt:lpstr>Non-Rebalanced Strategy</vt:lpstr>
      <vt:lpstr>Rebalanced Strategy</vt:lpstr>
      <vt:lpstr>Panic Portfolio</vt:lpstr>
      <vt:lpstr>60-40 Portfolio</vt:lpstr>
      <vt:lpstr>SP500 Only</vt:lpstr>
      <vt:lpstr>4.5% Withdrawals-No Rebalancing</vt:lpstr>
      <vt:lpstr>4.5% Withdrawals-Rebalanced</vt:lpstr>
      <vt:lpstr>4.5% 60-40 Portfolio</vt:lpstr>
      <vt:lpstr>4.5% Withdrawals-Panic</vt:lpstr>
      <vt:lpstr>4.5% SP500</vt:lpstr>
      <vt:lpstr>4% Withdrawals-No Rebalancing</vt:lpstr>
      <vt:lpstr>4% Withdrawals-Rebalanced</vt:lpstr>
      <vt:lpstr>4% Withdrawals-Panic</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2014-03-14T21:59:20Z</cp:lastPrinted>
  <dcterms:created xsi:type="dcterms:W3CDTF">2014-01-10T23:26:08Z</dcterms:created>
  <dcterms:modified xsi:type="dcterms:W3CDTF">2021-02-22T21:28:42Z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ies>
</file>